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STREET\Desktop\Зам по ОД\ПФХД\2023\"/>
    </mc:Choice>
  </mc:AlternateContent>
  <bookViews>
    <workbookView xWindow="0" yWindow="0" windowWidth="19200" windowHeight="11490" firstSheet="3" activeTab="5"/>
  </bookViews>
  <sheets>
    <sheet name="Раздел 1" sheetId="1" r:id="rId1"/>
    <sheet name="Раздел 2" sheetId="2" r:id="rId2"/>
    <sheet name="Раздел 3" sheetId="3" r:id="rId3"/>
    <sheet name="3.6(211+213+850)(4)" sheetId="5" r:id="rId4"/>
    <sheet name="3.6(211+213+850)(2)" sheetId="11" r:id="rId5"/>
    <sheet name="244(4)" sheetId="6" r:id="rId6"/>
    <sheet name="244(2)" sheetId="8" r:id="rId7"/>
    <sheet name="244(5)НЕПЕЧАТ" sheetId="10" r:id="rId8"/>
  </sheets>
  <definedNames>
    <definedName name="_xlnm.Print_Area" localSheetId="6">'244(2)'!$A$1:$N$196</definedName>
    <definedName name="_xlnm.Print_Area" localSheetId="5">'244(4)'!$A$1:$N$162</definedName>
    <definedName name="_xlnm.Print_Area" localSheetId="7">'244(5)НЕПЕЧАТ'!$A$1:$M$135</definedName>
    <definedName name="_xlnm.Print_Area" localSheetId="4">'3.6(211+213+850)(2)'!$A$1:$N$228</definedName>
    <definedName name="_xlnm.Print_Area" localSheetId="3">'3.6(211+213+850)(4)'!$A$1:$N$216</definedName>
    <definedName name="_xlnm.Print_Area" localSheetId="0">'Раздел 1'!$A$1:$K$92</definedName>
    <definedName name="_xlnm.Print_Area" localSheetId="2">'Раздел 3'!$A$1:$K$153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8" i="3" l="1"/>
  <c r="D88" i="3"/>
  <c r="H38" i="1"/>
  <c r="F38" i="1"/>
  <c r="J70" i="6"/>
  <c r="K70" i="6"/>
  <c r="J187" i="8" l="1"/>
  <c r="K187" i="8"/>
  <c r="I187" i="8"/>
  <c r="M42" i="8"/>
  <c r="N42" i="8"/>
  <c r="M43" i="8"/>
  <c r="N43" i="8"/>
  <c r="I153" i="8"/>
  <c r="E19" i="8"/>
  <c r="J98" i="8"/>
  <c r="K98" i="8"/>
  <c r="I98" i="8"/>
  <c r="I99" i="8" s="1"/>
  <c r="C19" i="8" s="1"/>
  <c r="K99" i="8"/>
  <c r="J99" i="8"/>
  <c r="D19" i="8" s="1"/>
  <c r="J90" i="8"/>
  <c r="K90" i="8"/>
  <c r="I90" i="8"/>
  <c r="K61" i="8"/>
  <c r="J61" i="8"/>
  <c r="I61" i="8"/>
  <c r="I52" i="8"/>
  <c r="G126" i="11"/>
  <c r="F126" i="11"/>
  <c r="I126" i="11" s="1"/>
  <c r="G125" i="11"/>
  <c r="F125" i="11"/>
  <c r="I125" i="11" s="1"/>
  <c r="G124" i="11"/>
  <c r="F124" i="11"/>
  <c r="I124" i="11" s="1"/>
  <c r="G123" i="11"/>
  <c r="F123" i="11"/>
  <c r="I123" i="11" s="1"/>
  <c r="G122" i="11"/>
  <c r="F122" i="11"/>
  <c r="I122" i="11" s="1"/>
  <c r="G121" i="11"/>
  <c r="F121" i="11"/>
  <c r="I121" i="11" s="1"/>
  <c r="G120" i="11"/>
  <c r="F120" i="11"/>
  <c r="I120" i="11" s="1"/>
  <c r="G119" i="11"/>
  <c r="F119" i="11"/>
  <c r="I119" i="11" s="1"/>
  <c r="G118" i="11"/>
  <c r="F118" i="11"/>
  <c r="I118" i="11" s="1"/>
  <c r="G117" i="11"/>
  <c r="F117" i="11"/>
  <c r="I117" i="11" s="1"/>
  <c r="G116" i="11"/>
  <c r="F116" i="11"/>
  <c r="I116" i="11" s="1"/>
  <c r="G115" i="11"/>
  <c r="F115" i="11"/>
  <c r="I115" i="11" s="1"/>
  <c r="G114" i="11"/>
  <c r="F114" i="11"/>
  <c r="I114" i="11" s="1"/>
  <c r="G113" i="11"/>
  <c r="F113" i="11"/>
  <c r="I113" i="11" s="1"/>
  <c r="G112" i="11"/>
  <c r="F112" i="11"/>
  <c r="G111" i="11"/>
  <c r="F111" i="11"/>
  <c r="F110" i="11"/>
  <c r="I109" i="11"/>
  <c r="D109" i="11" s="1"/>
  <c r="L109" i="11" s="1"/>
  <c r="F109" i="11"/>
  <c r="K109" i="11" s="1"/>
  <c r="G108" i="11"/>
  <c r="F108" i="11"/>
  <c r="G107" i="11"/>
  <c r="F107" i="11"/>
  <c r="G106" i="11"/>
  <c r="F106" i="11"/>
  <c r="G105" i="11"/>
  <c r="F105" i="11"/>
  <c r="G104" i="11"/>
  <c r="F104" i="11"/>
  <c r="F103" i="11"/>
  <c r="G102" i="11"/>
  <c r="F102" i="11"/>
  <c r="G101" i="11"/>
  <c r="F101" i="11"/>
  <c r="I100" i="11"/>
  <c r="F100" i="11"/>
  <c r="K100" i="11" s="1"/>
  <c r="D100" i="11"/>
  <c r="L100" i="11" s="1"/>
  <c r="F99" i="11"/>
  <c r="G89" i="11"/>
  <c r="F89" i="11"/>
  <c r="G88" i="11"/>
  <c r="F88" i="11"/>
  <c r="G87" i="11"/>
  <c r="F87" i="11"/>
  <c r="G86" i="11"/>
  <c r="F86" i="11"/>
  <c r="G85" i="11"/>
  <c r="F85" i="11"/>
  <c r="G84" i="11"/>
  <c r="F84" i="11"/>
  <c r="G83" i="11"/>
  <c r="F83" i="11"/>
  <c r="G82" i="11"/>
  <c r="F82" i="11"/>
  <c r="G81" i="11"/>
  <c r="F81" i="11"/>
  <c r="G80" i="11"/>
  <c r="F80" i="11"/>
  <c r="G79" i="11"/>
  <c r="F79" i="11"/>
  <c r="G78" i="11"/>
  <c r="F78" i="11"/>
  <c r="G77" i="11"/>
  <c r="F77" i="11"/>
  <c r="G76" i="11"/>
  <c r="F76" i="11"/>
  <c r="G75" i="11"/>
  <c r="F75" i="11"/>
  <c r="G74" i="11"/>
  <c r="F74" i="11"/>
  <c r="I73" i="11"/>
  <c r="F73" i="11"/>
  <c r="K73" i="11" s="1"/>
  <c r="D73" i="11"/>
  <c r="L73" i="11" s="1"/>
  <c r="F72" i="11"/>
  <c r="G71" i="11"/>
  <c r="F71" i="11"/>
  <c r="G70" i="11"/>
  <c r="F70" i="11"/>
  <c r="G69" i="11"/>
  <c r="F69" i="11"/>
  <c r="G68" i="11"/>
  <c r="F68" i="11"/>
  <c r="G67" i="11"/>
  <c r="F67" i="11"/>
  <c r="I66" i="11"/>
  <c r="F66" i="11"/>
  <c r="K66" i="11" s="1"/>
  <c r="G65" i="11"/>
  <c r="F65" i="11"/>
  <c r="G64" i="11"/>
  <c r="K64" i="11" s="1"/>
  <c r="F64" i="11"/>
  <c r="F63" i="11"/>
  <c r="I62" i="11"/>
  <c r="F62" i="11"/>
  <c r="K62" i="11" s="1"/>
  <c r="J116" i="6"/>
  <c r="K116" i="6"/>
  <c r="I116" i="6"/>
  <c r="D124" i="11" l="1"/>
  <c r="L124" i="11" s="1"/>
  <c r="K65" i="11"/>
  <c r="K75" i="11"/>
  <c r="K77" i="11"/>
  <c r="K79" i="11"/>
  <c r="K81" i="11"/>
  <c r="D81" i="11" s="1"/>
  <c r="L81" i="11" s="1"/>
  <c r="K83" i="11"/>
  <c r="K85" i="11"/>
  <c r="K87" i="11"/>
  <c r="I89" i="11"/>
  <c r="K104" i="11"/>
  <c r="K106" i="11"/>
  <c r="K108" i="11"/>
  <c r="K112" i="11"/>
  <c r="K114" i="11"/>
  <c r="K116" i="11"/>
  <c r="D116" i="11" s="1"/>
  <c r="L116" i="11" s="1"/>
  <c r="K118" i="11"/>
  <c r="D118" i="11" s="1"/>
  <c r="L118" i="11" s="1"/>
  <c r="K120" i="11"/>
  <c r="D120" i="11" s="1"/>
  <c r="L120" i="11" s="1"/>
  <c r="K122" i="11"/>
  <c r="K124" i="11"/>
  <c r="K126" i="11"/>
  <c r="D126" i="11" s="1"/>
  <c r="L126" i="11" s="1"/>
  <c r="D114" i="11"/>
  <c r="L114" i="11" s="1"/>
  <c r="D62" i="11"/>
  <c r="L62" i="11" s="1"/>
  <c r="D66" i="11"/>
  <c r="L66" i="11" s="1"/>
  <c r="D117" i="11"/>
  <c r="L117" i="11" s="1"/>
  <c r="D119" i="11"/>
  <c r="L119" i="11" s="1"/>
  <c r="D125" i="11"/>
  <c r="L125" i="11" s="1"/>
  <c r="D122" i="11"/>
  <c r="L122" i="11" s="1"/>
  <c r="K76" i="11"/>
  <c r="K78" i="11"/>
  <c r="K80" i="11"/>
  <c r="K82" i="11"/>
  <c r="K84" i="11"/>
  <c r="K86" i="11"/>
  <c r="K88" i="11"/>
  <c r="K105" i="11"/>
  <c r="K107" i="11"/>
  <c r="K111" i="11"/>
  <c r="K113" i="11"/>
  <c r="D113" i="11" s="1"/>
  <c r="L113" i="11" s="1"/>
  <c r="K115" i="11"/>
  <c r="D115" i="11" s="1"/>
  <c r="L115" i="11" s="1"/>
  <c r="K117" i="11"/>
  <c r="K119" i="11"/>
  <c r="K121" i="11"/>
  <c r="D121" i="11" s="1"/>
  <c r="L121" i="11" s="1"/>
  <c r="K123" i="11"/>
  <c r="D123" i="11" s="1"/>
  <c r="L123" i="11" s="1"/>
  <c r="K125" i="11"/>
  <c r="I99" i="11"/>
  <c r="K101" i="11"/>
  <c r="I101" i="11"/>
  <c r="D101" i="11" s="1"/>
  <c r="L101" i="11" s="1"/>
  <c r="K102" i="11"/>
  <c r="I102" i="11"/>
  <c r="D102" i="11" s="1"/>
  <c r="L102" i="11" s="1"/>
  <c r="I103" i="11"/>
  <c r="I110" i="11"/>
  <c r="K99" i="11"/>
  <c r="D99" i="11" s="1"/>
  <c r="L99" i="11" s="1"/>
  <c r="K103" i="11"/>
  <c r="D103" i="11" s="1"/>
  <c r="L103" i="11" s="1"/>
  <c r="I104" i="11"/>
  <c r="D104" i="11" s="1"/>
  <c r="L104" i="11" s="1"/>
  <c r="I105" i="11"/>
  <c r="I106" i="11"/>
  <c r="D106" i="11" s="1"/>
  <c r="L106" i="11" s="1"/>
  <c r="I107" i="11"/>
  <c r="D107" i="11" s="1"/>
  <c r="L107" i="11" s="1"/>
  <c r="I108" i="11"/>
  <c r="K110" i="11"/>
  <c r="D110" i="11" s="1"/>
  <c r="L110" i="11" s="1"/>
  <c r="I111" i="11"/>
  <c r="D111" i="11" s="1"/>
  <c r="L111" i="11" s="1"/>
  <c r="I112" i="11"/>
  <c r="D112" i="11" s="1"/>
  <c r="L112" i="11" s="1"/>
  <c r="I63" i="11"/>
  <c r="K67" i="11"/>
  <c r="D67" i="11"/>
  <c r="L67" i="11" s="1"/>
  <c r="I67" i="11"/>
  <c r="K68" i="11"/>
  <c r="I68" i="11"/>
  <c r="D68" i="11" s="1"/>
  <c r="L68" i="11" s="1"/>
  <c r="K69" i="11"/>
  <c r="I69" i="11"/>
  <c r="D69" i="11" s="1"/>
  <c r="L69" i="11" s="1"/>
  <c r="K70" i="11"/>
  <c r="I70" i="11"/>
  <c r="D70" i="11" s="1"/>
  <c r="L70" i="11" s="1"/>
  <c r="K71" i="11"/>
  <c r="I71" i="11"/>
  <c r="D71" i="11" s="1"/>
  <c r="L71" i="11" s="1"/>
  <c r="I72" i="11"/>
  <c r="D72" i="11" s="1"/>
  <c r="L72" i="11" s="1"/>
  <c r="K74" i="11"/>
  <c r="I74" i="11"/>
  <c r="D74" i="11" s="1"/>
  <c r="L74" i="11" s="1"/>
  <c r="K63" i="11"/>
  <c r="D63" i="11" s="1"/>
  <c r="L63" i="11" s="1"/>
  <c r="I64" i="11"/>
  <c r="D64" i="11" s="1"/>
  <c r="L64" i="11" s="1"/>
  <c r="I65" i="11"/>
  <c r="K72" i="11"/>
  <c r="I75" i="11"/>
  <c r="D75" i="11" s="1"/>
  <c r="L75" i="11" s="1"/>
  <c r="I76" i="11"/>
  <c r="D76" i="11" s="1"/>
  <c r="L76" i="11" s="1"/>
  <c r="I77" i="11"/>
  <c r="I78" i="11"/>
  <c r="I79" i="11"/>
  <c r="D79" i="11" s="1"/>
  <c r="L79" i="11" s="1"/>
  <c r="I80" i="11"/>
  <c r="D80" i="11" s="1"/>
  <c r="L80" i="11" s="1"/>
  <c r="I81" i="11"/>
  <c r="I82" i="11"/>
  <c r="I83" i="11"/>
  <c r="D83" i="11" s="1"/>
  <c r="L83" i="11" s="1"/>
  <c r="I84" i="11"/>
  <c r="D84" i="11" s="1"/>
  <c r="L84" i="11" s="1"/>
  <c r="I85" i="11"/>
  <c r="I86" i="11"/>
  <c r="I87" i="11"/>
  <c r="D87" i="11" s="1"/>
  <c r="L87" i="11" s="1"/>
  <c r="I88" i="11"/>
  <c r="D88" i="11" s="1"/>
  <c r="L88" i="11" s="1"/>
  <c r="D77" i="11"/>
  <c r="L77" i="11" s="1"/>
  <c r="D78" i="11"/>
  <c r="L78" i="11" s="1"/>
  <c r="D82" i="11"/>
  <c r="L82" i="11" s="1"/>
  <c r="D85" i="11"/>
  <c r="L85" i="11" s="1"/>
  <c r="D86" i="11"/>
  <c r="L86" i="11" s="1"/>
  <c r="K89" i="11"/>
  <c r="I97" i="6"/>
  <c r="I70" i="6"/>
  <c r="J69" i="6"/>
  <c r="K69" i="6"/>
  <c r="I69" i="6"/>
  <c r="J60" i="6"/>
  <c r="K60" i="6"/>
  <c r="J58" i="6"/>
  <c r="K58" i="6"/>
  <c r="J57" i="6"/>
  <c r="K57" i="6"/>
  <c r="J56" i="6"/>
  <c r="K56" i="6"/>
  <c r="J55" i="6"/>
  <c r="K55" i="6"/>
  <c r="J61" i="6"/>
  <c r="K61" i="6"/>
  <c r="I88" i="3"/>
  <c r="D105" i="11" l="1"/>
  <c r="L105" i="11" s="1"/>
  <c r="D89" i="11"/>
  <c r="L89" i="11" s="1"/>
  <c r="D65" i="11"/>
  <c r="L65" i="11" s="1"/>
  <c r="D108" i="11"/>
  <c r="L108" i="11" s="1"/>
  <c r="I60" i="6"/>
  <c r="I58" i="6"/>
  <c r="I57" i="6"/>
  <c r="I56" i="6"/>
  <c r="I55" i="6"/>
  <c r="M37" i="6"/>
  <c r="N37" i="6"/>
  <c r="L37" i="6"/>
  <c r="L181" i="11"/>
  <c r="G130" i="5"/>
  <c r="F130" i="5"/>
  <c r="K130" i="5" s="1"/>
  <c r="G129" i="5"/>
  <c r="F129" i="5"/>
  <c r="G128" i="5"/>
  <c r="F128" i="5"/>
  <c r="I128" i="5" s="1"/>
  <c r="G127" i="5"/>
  <c r="F127" i="5"/>
  <c r="G126" i="5"/>
  <c r="F126" i="5"/>
  <c r="K126" i="5" s="1"/>
  <c r="G125" i="5"/>
  <c r="F125" i="5"/>
  <c r="K125" i="5" s="1"/>
  <c r="G124" i="5"/>
  <c r="F124" i="5"/>
  <c r="K124" i="5" s="1"/>
  <c r="G123" i="5"/>
  <c r="F123" i="5"/>
  <c r="G122" i="5"/>
  <c r="F122" i="5"/>
  <c r="G121" i="5"/>
  <c r="F121" i="5"/>
  <c r="K121" i="5" s="1"/>
  <c r="K120" i="5"/>
  <c r="G120" i="5"/>
  <c r="F120" i="5"/>
  <c r="G119" i="5"/>
  <c r="F119" i="5"/>
  <c r="G118" i="5"/>
  <c r="F118" i="5"/>
  <c r="K118" i="5" s="1"/>
  <c r="G117" i="5"/>
  <c r="F117" i="5"/>
  <c r="K117" i="5" s="1"/>
  <c r="G116" i="5"/>
  <c r="F116" i="5"/>
  <c r="I116" i="5" s="1"/>
  <c r="G115" i="5"/>
  <c r="F115" i="5"/>
  <c r="G114" i="5"/>
  <c r="F114" i="5"/>
  <c r="K114" i="5" s="1"/>
  <c r="G113" i="5"/>
  <c r="F113" i="5"/>
  <c r="G112" i="5"/>
  <c r="F112" i="5"/>
  <c r="I112" i="5" s="1"/>
  <c r="G111" i="5"/>
  <c r="F111" i="5"/>
  <c r="G110" i="5"/>
  <c r="F110" i="5"/>
  <c r="K110" i="5" s="1"/>
  <c r="G109" i="5"/>
  <c r="F109" i="5"/>
  <c r="K109" i="5" s="1"/>
  <c r="G108" i="5"/>
  <c r="K108" i="5" s="1"/>
  <c r="F108" i="5"/>
  <c r="G107" i="5"/>
  <c r="F107" i="5"/>
  <c r="G106" i="5"/>
  <c r="F106" i="5"/>
  <c r="G105" i="5"/>
  <c r="F105" i="5"/>
  <c r="K105" i="5" s="1"/>
  <c r="K104" i="5"/>
  <c r="G104" i="5"/>
  <c r="F104" i="5"/>
  <c r="I104" i="5" s="1"/>
  <c r="G103" i="5"/>
  <c r="F103" i="5"/>
  <c r="G91" i="5"/>
  <c r="F91" i="5"/>
  <c r="K91" i="5" s="1"/>
  <c r="G90" i="5"/>
  <c r="F90" i="5"/>
  <c r="G89" i="5"/>
  <c r="F89" i="5"/>
  <c r="K89" i="5" s="1"/>
  <c r="G88" i="5"/>
  <c r="F88" i="5"/>
  <c r="G87" i="5"/>
  <c r="F87" i="5"/>
  <c r="K87" i="5" s="1"/>
  <c r="G86" i="5"/>
  <c r="F86" i="5"/>
  <c r="G85" i="5"/>
  <c r="F85" i="5"/>
  <c r="I85" i="5" s="1"/>
  <c r="G84" i="5"/>
  <c r="F84" i="5"/>
  <c r="G83" i="5"/>
  <c r="F83" i="5"/>
  <c r="G82" i="5"/>
  <c r="F82" i="5"/>
  <c r="G81" i="5"/>
  <c r="F81" i="5"/>
  <c r="K81" i="5" s="1"/>
  <c r="G80" i="5"/>
  <c r="F80" i="5"/>
  <c r="G79" i="5"/>
  <c r="F79" i="5"/>
  <c r="K79" i="5" s="1"/>
  <c r="G78" i="5"/>
  <c r="F78" i="5"/>
  <c r="G77" i="5"/>
  <c r="F77" i="5"/>
  <c r="K77" i="5" s="1"/>
  <c r="G76" i="5"/>
  <c r="F76" i="5"/>
  <c r="G75" i="5"/>
  <c r="F75" i="5"/>
  <c r="K75" i="5" s="1"/>
  <c r="G74" i="5"/>
  <c r="F74" i="5"/>
  <c r="G73" i="5"/>
  <c r="F73" i="5"/>
  <c r="K73" i="5" s="1"/>
  <c r="G72" i="5"/>
  <c r="F72" i="5"/>
  <c r="G71" i="5"/>
  <c r="F71" i="5"/>
  <c r="K71" i="5" s="1"/>
  <c r="G70" i="5"/>
  <c r="F70" i="5"/>
  <c r="G69" i="5"/>
  <c r="F69" i="5"/>
  <c r="I69" i="5" s="1"/>
  <c r="G68" i="5"/>
  <c r="F68" i="5"/>
  <c r="K68" i="5" s="1"/>
  <c r="G67" i="5"/>
  <c r="F67" i="5"/>
  <c r="G66" i="5"/>
  <c r="F66" i="5"/>
  <c r="K66" i="5" s="1"/>
  <c r="G65" i="5"/>
  <c r="F65" i="5"/>
  <c r="I65" i="5" s="1"/>
  <c r="G64" i="5"/>
  <c r="F64" i="5"/>
  <c r="G26" i="5"/>
  <c r="G25" i="5"/>
  <c r="G27" i="5"/>
  <c r="G28" i="5"/>
  <c r="G29" i="5"/>
  <c r="G30" i="5"/>
  <c r="G35" i="5"/>
  <c r="G36" i="5"/>
  <c r="G37" i="5"/>
  <c r="G38" i="5"/>
  <c r="G39" i="5"/>
  <c r="G40" i="5"/>
  <c r="G42" i="5"/>
  <c r="G50" i="5"/>
  <c r="G51" i="5"/>
  <c r="G52" i="5"/>
  <c r="D112" i="5" l="1"/>
  <c r="L112" i="5" s="1"/>
  <c r="D104" i="5"/>
  <c r="L104" i="5" s="1"/>
  <c r="K112" i="5"/>
  <c r="I120" i="5"/>
  <c r="D120" i="5" s="1"/>
  <c r="L120" i="5" s="1"/>
  <c r="K128" i="5"/>
  <c r="D128" i="5" s="1"/>
  <c r="L128" i="5" s="1"/>
  <c r="K64" i="5"/>
  <c r="K106" i="5"/>
  <c r="I108" i="5"/>
  <c r="D108" i="5" s="1"/>
  <c r="L108" i="5" s="1"/>
  <c r="K113" i="5"/>
  <c r="K116" i="5"/>
  <c r="D116" i="5" s="1"/>
  <c r="L116" i="5" s="1"/>
  <c r="K122" i="5"/>
  <c r="I124" i="5"/>
  <c r="D124" i="5" s="1"/>
  <c r="L124" i="5" s="1"/>
  <c r="K129" i="5"/>
  <c r="I61" i="6"/>
  <c r="I106" i="5"/>
  <c r="D106" i="5" s="1"/>
  <c r="L106" i="5" s="1"/>
  <c r="I110" i="5"/>
  <c r="D110" i="5" s="1"/>
  <c r="L110" i="5" s="1"/>
  <c r="I114" i="5"/>
  <c r="D114" i="5" s="1"/>
  <c r="L114" i="5" s="1"/>
  <c r="I118" i="5"/>
  <c r="D118" i="5" s="1"/>
  <c r="L118" i="5" s="1"/>
  <c r="I122" i="5"/>
  <c r="D122" i="5" s="1"/>
  <c r="L122" i="5" s="1"/>
  <c r="I126" i="5"/>
  <c r="D126" i="5" s="1"/>
  <c r="L126" i="5" s="1"/>
  <c r="I130" i="5"/>
  <c r="D130" i="5" s="1"/>
  <c r="L130" i="5" s="1"/>
  <c r="K65" i="5"/>
  <c r="D65" i="5" s="1"/>
  <c r="L65" i="5" s="1"/>
  <c r="K70" i="5"/>
  <c r="K72" i="5"/>
  <c r="K74" i="5"/>
  <c r="K76" i="5"/>
  <c r="K78" i="5"/>
  <c r="K80" i="5"/>
  <c r="I81" i="5"/>
  <c r="K67" i="5"/>
  <c r="K69" i="5"/>
  <c r="K82" i="5"/>
  <c r="K84" i="5"/>
  <c r="K86" i="5"/>
  <c r="K88" i="5"/>
  <c r="K90" i="5"/>
  <c r="K103" i="5"/>
  <c r="K107" i="5"/>
  <c r="D107" i="5" s="1"/>
  <c r="L107" i="5" s="1"/>
  <c r="K111" i="5"/>
  <c r="K115" i="5"/>
  <c r="K119" i="5"/>
  <c r="K123" i="5"/>
  <c r="D123" i="5" s="1"/>
  <c r="L123" i="5" s="1"/>
  <c r="K127" i="5"/>
  <c r="I107" i="5"/>
  <c r="I109" i="5"/>
  <c r="D109" i="5" s="1"/>
  <c r="L109" i="5" s="1"/>
  <c r="I115" i="5"/>
  <c r="D115" i="5" s="1"/>
  <c r="L115" i="5" s="1"/>
  <c r="I117" i="5"/>
  <c r="D117" i="5" s="1"/>
  <c r="L117" i="5" s="1"/>
  <c r="I123" i="5"/>
  <c r="I103" i="5"/>
  <c r="I105" i="5"/>
  <c r="D105" i="5" s="1"/>
  <c r="L105" i="5" s="1"/>
  <c r="I111" i="5"/>
  <c r="D111" i="5" s="1"/>
  <c r="L111" i="5" s="1"/>
  <c r="I113" i="5"/>
  <c r="I119" i="5"/>
  <c r="I121" i="5"/>
  <c r="D121" i="5" s="1"/>
  <c r="L121" i="5" s="1"/>
  <c r="I125" i="5"/>
  <c r="D125" i="5" s="1"/>
  <c r="L125" i="5" s="1"/>
  <c r="I127" i="5"/>
  <c r="I129" i="5"/>
  <c r="D129" i="5" s="1"/>
  <c r="L129" i="5" s="1"/>
  <c r="D103" i="5"/>
  <c r="L103" i="5" s="1"/>
  <c r="D113" i="5"/>
  <c r="L113" i="5" s="1"/>
  <c r="D119" i="5"/>
  <c r="L119" i="5" s="1"/>
  <c r="D127" i="5"/>
  <c r="L127" i="5" s="1"/>
  <c r="I73" i="5"/>
  <c r="I89" i="5"/>
  <c r="D89" i="5" s="1"/>
  <c r="L89" i="5" s="1"/>
  <c r="I77" i="5"/>
  <c r="D77" i="5" s="1"/>
  <c r="L77" i="5" s="1"/>
  <c r="K83" i="5"/>
  <c r="K85" i="5"/>
  <c r="D69" i="5"/>
  <c r="L69" i="5" s="1"/>
  <c r="D85" i="5"/>
  <c r="L85" i="5" s="1"/>
  <c r="D73" i="5"/>
  <c r="L73" i="5" s="1"/>
  <c r="I71" i="5"/>
  <c r="D71" i="5" s="1"/>
  <c r="L71" i="5" s="1"/>
  <c r="I79" i="5"/>
  <c r="D79" i="5" s="1"/>
  <c r="L79" i="5" s="1"/>
  <c r="I83" i="5"/>
  <c r="I87" i="5"/>
  <c r="D87" i="5" s="1"/>
  <c r="L87" i="5" s="1"/>
  <c r="I91" i="5"/>
  <c r="D91" i="5" s="1"/>
  <c r="L91" i="5" s="1"/>
  <c r="D81" i="5"/>
  <c r="L81" i="5" s="1"/>
  <c r="I67" i="5"/>
  <c r="I75" i="5"/>
  <c r="D75" i="5" s="1"/>
  <c r="L75" i="5" s="1"/>
  <c r="I70" i="5"/>
  <c r="D70" i="5" s="1"/>
  <c r="L70" i="5" s="1"/>
  <c r="I72" i="5"/>
  <c r="D72" i="5" s="1"/>
  <c r="L72" i="5" s="1"/>
  <c r="I74" i="5"/>
  <c r="I76" i="5"/>
  <c r="I78" i="5"/>
  <c r="D78" i="5" s="1"/>
  <c r="L78" i="5" s="1"/>
  <c r="I80" i="5"/>
  <c r="D80" i="5" s="1"/>
  <c r="L80" i="5" s="1"/>
  <c r="I82" i="5"/>
  <c r="I84" i="5"/>
  <c r="D84" i="5" s="1"/>
  <c r="L84" i="5" s="1"/>
  <c r="I86" i="5"/>
  <c r="D86" i="5" s="1"/>
  <c r="L86" i="5" s="1"/>
  <c r="I88" i="5"/>
  <c r="D88" i="5" s="1"/>
  <c r="L88" i="5" s="1"/>
  <c r="I90" i="5"/>
  <c r="I64" i="5"/>
  <c r="I66" i="5"/>
  <c r="D66" i="5" s="1"/>
  <c r="L66" i="5" s="1"/>
  <c r="I68" i="5"/>
  <c r="D68" i="5" s="1"/>
  <c r="L68" i="5" s="1"/>
  <c r="D74" i="5"/>
  <c r="L74" i="5" s="1"/>
  <c r="D82" i="5"/>
  <c r="L82" i="5" s="1"/>
  <c r="D90" i="5"/>
  <c r="L90" i="5" s="1"/>
  <c r="J87" i="3"/>
  <c r="K87" i="3"/>
  <c r="J86" i="3"/>
  <c r="K86" i="3"/>
  <c r="D64" i="5" l="1"/>
  <c r="L64" i="5" s="1"/>
  <c r="D76" i="5"/>
  <c r="L76" i="5" s="1"/>
  <c r="D67" i="5"/>
  <c r="L67" i="5" s="1"/>
  <c r="L92" i="5" s="1"/>
  <c r="L94" i="5" s="1"/>
  <c r="L131" i="5"/>
  <c r="L133" i="5" s="1"/>
  <c r="D83" i="5"/>
  <c r="L83" i="5" s="1"/>
  <c r="I53" i="8" l="1"/>
  <c r="G34" i="5" l="1"/>
  <c r="G40" i="11"/>
  <c r="G41" i="11"/>
  <c r="G39" i="11"/>
  <c r="G38" i="11"/>
  <c r="G37" i="11"/>
  <c r="G52" i="11"/>
  <c r="G51" i="11"/>
  <c r="G50" i="11"/>
  <c r="G48" i="11"/>
  <c r="G47" i="11"/>
  <c r="G46" i="11"/>
  <c r="G45" i="11"/>
  <c r="G44" i="11"/>
  <c r="G43" i="11"/>
  <c r="J153" i="6" l="1"/>
  <c r="D25" i="6" s="1"/>
  <c r="F79" i="1" s="1"/>
  <c r="I153" i="6"/>
  <c r="C25" i="6" s="1"/>
  <c r="D79" i="1" s="1"/>
  <c r="K153" i="6" l="1"/>
  <c r="E25" i="6" s="1"/>
  <c r="H79" i="1" s="1"/>
  <c r="I211" i="11" l="1"/>
  <c r="K228" i="11" l="1"/>
  <c r="J228" i="11"/>
  <c r="I228" i="11"/>
  <c r="E47" i="1" s="1"/>
  <c r="J153" i="8"/>
  <c r="K153" i="8"/>
  <c r="G41" i="5" l="1"/>
  <c r="G49" i="5"/>
  <c r="G44" i="5"/>
  <c r="G45" i="5"/>
  <c r="G46" i="5"/>
  <c r="G47" i="5"/>
  <c r="G48" i="5"/>
  <c r="G43" i="5"/>
  <c r="I143" i="6" l="1"/>
  <c r="C24" i="6" s="1"/>
  <c r="D76" i="1" s="1"/>
  <c r="K143" i="6"/>
  <c r="E24" i="6" s="1"/>
  <c r="J143" i="6"/>
  <c r="D24" i="6" s="1"/>
  <c r="G32" i="5" l="1"/>
  <c r="G31" i="5"/>
  <c r="G33" i="5"/>
  <c r="G9" i="2" l="1"/>
  <c r="D15" i="6" l="1"/>
  <c r="F67" i="1" s="1"/>
  <c r="K97" i="6" l="1"/>
  <c r="J97" i="6"/>
  <c r="C19" i="6" l="1"/>
  <c r="D70" i="1" s="1"/>
  <c r="I87" i="3" l="1"/>
  <c r="I86" i="3"/>
  <c r="J195" i="8" l="1"/>
  <c r="K195" i="8"/>
  <c r="I195" i="8"/>
  <c r="F52" i="5"/>
  <c r="I52" i="5" s="1"/>
  <c r="F51" i="5"/>
  <c r="I51" i="5" s="1"/>
  <c r="F50" i="5"/>
  <c r="K50" i="5" s="1"/>
  <c r="F49" i="5"/>
  <c r="I49" i="5" s="1"/>
  <c r="F48" i="5"/>
  <c r="K48" i="5" s="1"/>
  <c r="F47" i="5"/>
  <c r="K47" i="5" s="1"/>
  <c r="F46" i="5"/>
  <c r="I46" i="5" s="1"/>
  <c r="F45" i="5"/>
  <c r="I45" i="5" s="1"/>
  <c r="F44" i="5"/>
  <c r="K44" i="5" s="1"/>
  <c r="F43" i="5"/>
  <c r="K43" i="5" s="1"/>
  <c r="F42" i="5"/>
  <c r="F41" i="5"/>
  <c r="F40" i="5"/>
  <c r="F39" i="5"/>
  <c r="F38" i="5"/>
  <c r="F37" i="5"/>
  <c r="F36" i="5"/>
  <c r="K36" i="5" s="1"/>
  <c r="F35" i="5"/>
  <c r="I35" i="5" s="1"/>
  <c r="F34" i="5"/>
  <c r="K34" i="5" s="1"/>
  <c r="F33" i="5"/>
  <c r="I33" i="5" s="1"/>
  <c r="F32" i="5"/>
  <c r="K32" i="5" s="1"/>
  <c r="F31" i="5"/>
  <c r="I31" i="5" s="1"/>
  <c r="F30" i="5"/>
  <c r="I30" i="5" s="1"/>
  <c r="F29" i="5"/>
  <c r="I29" i="5" s="1"/>
  <c r="F28" i="5"/>
  <c r="I28" i="5" s="1"/>
  <c r="F27" i="5"/>
  <c r="I27" i="5" s="1"/>
  <c r="F26" i="5"/>
  <c r="F25" i="5"/>
  <c r="I32" i="5" l="1"/>
  <c r="D32" i="5" s="1"/>
  <c r="L32" i="5" s="1"/>
  <c r="I36" i="5"/>
  <c r="D36" i="5" s="1"/>
  <c r="L36" i="5" s="1"/>
  <c r="I40" i="5"/>
  <c r="I26" i="5"/>
  <c r="I34" i="5"/>
  <c r="D34" i="5" s="1"/>
  <c r="L34" i="5" s="1"/>
  <c r="I39" i="5"/>
  <c r="I25" i="5"/>
  <c r="K25" i="5"/>
  <c r="K27" i="5"/>
  <c r="D27" i="5" s="1"/>
  <c r="L27" i="5" s="1"/>
  <c r="K29" i="5"/>
  <c r="D29" i="5" s="1"/>
  <c r="L29" i="5" s="1"/>
  <c r="K31" i="5"/>
  <c r="D31" i="5" s="1"/>
  <c r="L31" i="5" s="1"/>
  <c r="K33" i="5"/>
  <c r="D33" i="5" s="1"/>
  <c r="L33" i="5" s="1"/>
  <c r="K35" i="5"/>
  <c r="D35" i="5" s="1"/>
  <c r="L35" i="5" s="1"/>
  <c r="K37" i="5"/>
  <c r="K38" i="5"/>
  <c r="K42" i="5"/>
  <c r="K26" i="5"/>
  <c r="K28" i="5"/>
  <c r="D28" i="5" s="1"/>
  <c r="L28" i="5" s="1"/>
  <c r="K30" i="5"/>
  <c r="D30" i="5" s="1"/>
  <c r="L30" i="5" s="1"/>
  <c r="I41" i="5"/>
  <c r="I42" i="5"/>
  <c r="I44" i="5"/>
  <c r="D44" i="5" s="1"/>
  <c r="L44" i="5" s="1"/>
  <c r="K49" i="5"/>
  <c r="D49" i="5" s="1"/>
  <c r="L49" i="5" s="1"/>
  <c r="K51" i="5"/>
  <c r="D51" i="5" s="1"/>
  <c r="L51" i="5" s="1"/>
  <c r="K39" i="5"/>
  <c r="I37" i="5"/>
  <c r="I38" i="5"/>
  <c r="K40" i="5"/>
  <c r="K41" i="5"/>
  <c r="K45" i="5"/>
  <c r="D45" i="5" s="1"/>
  <c r="L45" i="5" s="1"/>
  <c r="I48" i="5"/>
  <c r="D48" i="5" s="1"/>
  <c r="L48" i="5" s="1"/>
  <c r="I50" i="5"/>
  <c r="D50" i="5" s="1"/>
  <c r="L50" i="5" s="1"/>
  <c r="K52" i="5"/>
  <c r="D52" i="5" s="1"/>
  <c r="L52" i="5" s="1"/>
  <c r="I47" i="5"/>
  <c r="D47" i="5" s="1"/>
  <c r="L47" i="5" s="1"/>
  <c r="I43" i="5"/>
  <c r="D43" i="5" s="1"/>
  <c r="L43" i="5" s="1"/>
  <c r="K46" i="5"/>
  <c r="D46" i="5" s="1"/>
  <c r="L46" i="5" s="1"/>
  <c r="D39" i="5" l="1"/>
  <c r="L39" i="5" s="1"/>
  <c r="D25" i="5"/>
  <c r="L25" i="5" s="1"/>
  <c r="D42" i="5"/>
  <c r="L42" i="5" s="1"/>
  <c r="D40" i="5"/>
  <c r="L40" i="5" s="1"/>
  <c r="D26" i="5"/>
  <c r="L26" i="5" s="1"/>
  <c r="D38" i="5"/>
  <c r="L38" i="5" s="1"/>
  <c r="D41" i="5"/>
  <c r="L41" i="5" s="1"/>
  <c r="D37" i="5"/>
  <c r="L37" i="5" s="1"/>
  <c r="C22" i="6"/>
  <c r="L53" i="5" l="1"/>
  <c r="J71" i="6"/>
  <c r="K71" i="6"/>
  <c r="I71" i="6"/>
  <c r="L55" i="5" l="1"/>
  <c r="I220" i="11"/>
  <c r="G42" i="11" l="1"/>
  <c r="G34" i="11"/>
  <c r="G33" i="11"/>
  <c r="G32" i="11"/>
  <c r="G31" i="11"/>
  <c r="G30" i="11"/>
  <c r="G28" i="11"/>
  <c r="G27" i="11"/>
  <c r="G49" i="11"/>
  <c r="F49" i="11"/>
  <c r="F50" i="11"/>
  <c r="F51" i="11"/>
  <c r="F52" i="11"/>
  <c r="K51" i="11" l="1"/>
  <c r="K49" i="11"/>
  <c r="K50" i="11"/>
  <c r="I49" i="11"/>
  <c r="D49" i="11" s="1"/>
  <c r="L49" i="11" s="1"/>
  <c r="I52" i="11"/>
  <c r="K52" i="11"/>
  <c r="I50" i="11"/>
  <c r="D50" i="11" s="1"/>
  <c r="L50" i="11" s="1"/>
  <c r="I51" i="11"/>
  <c r="D51" i="11" l="1"/>
  <c r="L51" i="11" s="1"/>
  <c r="D52" i="11"/>
  <c r="L52" i="11" s="1"/>
  <c r="J123" i="8" l="1"/>
  <c r="K123" i="8"/>
  <c r="G71" i="1" s="1"/>
  <c r="I47" i="10" l="1"/>
  <c r="I134" i="10" l="1"/>
  <c r="I123" i="8" l="1"/>
  <c r="L180" i="11"/>
  <c r="K135" i="10" l="1"/>
  <c r="J135" i="10"/>
  <c r="I135" i="10"/>
  <c r="J71" i="10"/>
  <c r="K71" i="10"/>
  <c r="I71" i="10"/>
  <c r="E58" i="1" l="1"/>
  <c r="J220" i="11" l="1"/>
  <c r="G58" i="1" s="1"/>
  <c r="K220" i="11"/>
  <c r="I58" i="1" s="1"/>
  <c r="J211" i="11"/>
  <c r="G51" i="1" s="1"/>
  <c r="G49" i="1" s="1"/>
  <c r="K211" i="11"/>
  <c r="I51" i="1" s="1"/>
  <c r="I49" i="1" s="1"/>
  <c r="E51" i="1"/>
  <c r="N181" i="11"/>
  <c r="M181" i="11"/>
  <c r="N180" i="11"/>
  <c r="M180" i="11"/>
  <c r="N191" i="11"/>
  <c r="M191" i="11"/>
  <c r="L191" i="11"/>
  <c r="C127" i="11"/>
  <c r="C90" i="11"/>
  <c r="C53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H80" i="1"/>
  <c r="F80" i="1"/>
  <c r="K125" i="10"/>
  <c r="K126" i="10" s="1"/>
  <c r="J125" i="10"/>
  <c r="J126" i="10" s="1"/>
  <c r="F73" i="1" s="1"/>
  <c r="I126" i="10"/>
  <c r="D73" i="1" s="1"/>
  <c r="K117" i="10"/>
  <c r="J117" i="10"/>
  <c r="I117" i="10"/>
  <c r="I109" i="10"/>
  <c r="C21" i="10" s="1"/>
  <c r="K105" i="10"/>
  <c r="J105" i="10"/>
  <c r="I105" i="10"/>
  <c r="H105" i="10"/>
  <c r="G105" i="10"/>
  <c r="F105" i="10"/>
  <c r="K100" i="10"/>
  <c r="E19" i="10" s="1"/>
  <c r="J100" i="10"/>
  <c r="D19" i="10" s="1"/>
  <c r="I100" i="10"/>
  <c r="C19" i="10" s="1"/>
  <c r="N80" i="10"/>
  <c r="E18" i="10" s="1"/>
  <c r="M80" i="10"/>
  <c r="D18" i="10" s="1"/>
  <c r="L80" i="10"/>
  <c r="C18" i="10" s="1"/>
  <c r="E17" i="10"/>
  <c r="D17" i="10"/>
  <c r="K61" i="10"/>
  <c r="J61" i="10"/>
  <c r="I61" i="10"/>
  <c r="K48" i="10"/>
  <c r="J48" i="10"/>
  <c r="I48" i="10"/>
  <c r="N39" i="10"/>
  <c r="E13" i="10" s="1"/>
  <c r="M39" i="10"/>
  <c r="D13" i="10" s="1"/>
  <c r="L39" i="10"/>
  <c r="C13" i="10" s="1"/>
  <c r="C17" i="10"/>
  <c r="K29" i="11" l="1"/>
  <c r="I30" i="11"/>
  <c r="K33" i="11"/>
  <c r="I37" i="11"/>
  <c r="K45" i="11"/>
  <c r="I26" i="11"/>
  <c r="K27" i="11"/>
  <c r="I46" i="11"/>
  <c r="K36" i="11"/>
  <c r="I44" i="11"/>
  <c r="I25" i="11"/>
  <c r="I47" i="11"/>
  <c r="H73" i="1"/>
  <c r="N182" i="11"/>
  <c r="I42" i="1" s="1"/>
  <c r="L182" i="11"/>
  <c r="E42" i="1" s="1"/>
  <c r="C12" i="10"/>
  <c r="G19" i="2" s="1"/>
  <c r="M182" i="11"/>
  <c r="G42" i="1" s="1"/>
  <c r="I39" i="11"/>
  <c r="K31" i="11"/>
  <c r="I48" i="11"/>
  <c r="I31" i="11"/>
  <c r="K39" i="11"/>
  <c r="K42" i="11"/>
  <c r="I35" i="11"/>
  <c r="I42" i="11"/>
  <c r="K26" i="11"/>
  <c r="I29" i="11"/>
  <c r="K38" i="11"/>
  <c r="I27" i="11"/>
  <c r="K35" i="11"/>
  <c r="K40" i="11"/>
  <c r="I45" i="11"/>
  <c r="K25" i="11"/>
  <c r="K30" i="11"/>
  <c r="I33" i="11"/>
  <c r="K34" i="11"/>
  <c r="K37" i="11"/>
  <c r="I28" i="11"/>
  <c r="I32" i="11"/>
  <c r="I34" i="11"/>
  <c r="D34" i="11" s="1"/>
  <c r="L34" i="11" s="1"/>
  <c r="I36" i="11"/>
  <c r="I38" i="11"/>
  <c r="I40" i="11"/>
  <c r="D40" i="11" s="1"/>
  <c r="L40" i="11" s="1"/>
  <c r="I41" i="11"/>
  <c r="K43" i="11"/>
  <c r="K44" i="11"/>
  <c r="K32" i="11"/>
  <c r="K46" i="11"/>
  <c r="K47" i="11"/>
  <c r="K48" i="11"/>
  <c r="K28" i="11"/>
  <c r="K41" i="11"/>
  <c r="I43" i="11"/>
  <c r="D43" i="11" s="1"/>
  <c r="L43" i="11" s="1"/>
  <c r="J109" i="10"/>
  <c r="D21" i="10" s="1"/>
  <c r="D12" i="10" s="1"/>
  <c r="K109" i="10"/>
  <c r="E21" i="10" s="1"/>
  <c r="E12" i="10" s="1"/>
  <c r="D42" i="11" l="1"/>
  <c r="L42" i="11" s="1"/>
  <c r="D29" i="11"/>
  <c r="L29" i="11" s="1"/>
  <c r="D25" i="11"/>
  <c r="L25" i="11" s="1"/>
  <c r="D35" i="11"/>
  <c r="L35" i="11" s="1"/>
  <c r="D26" i="11"/>
  <c r="L26" i="11" s="1"/>
  <c r="D47" i="11"/>
  <c r="L47" i="11" s="1"/>
  <c r="D33" i="11"/>
  <c r="L33" i="11" s="1"/>
  <c r="D46" i="11"/>
  <c r="L46" i="11" s="1"/>
  <c r="D32" i="11"/>
  <c r="L32" i="11" s="1"/>
  <c r="D28" i="11"/>
  <c r="D44" i="11"/>
  <c r="L44" i="11" s="1"/>
  <c r="D37" i="11"/>
  <c r="L37" i="11" s="1"/>
  <c r="D38" i="11"/>
  <c r="L38" i="11" s="1"/>
  <c r="D41" i="11"/>
  <c r="L41" i="11" s="1"/>
  <c r="D48" i="11"/>
  <c r="L48" i="11" s="1"/>
  <c r="D39" i="11"/>
  <c r="L39" i="11" s="1"/>
  <c r="D31" i="11"/>
  <c r="L31" i="11" s="1"/>
  <c r="D27" i="11"/>
  <c r="L27" i="11" s="1"/>
  <c r="D30" i="11"/>
  <c r="D36" i="11"/>
  <c r="L36" i="11" s="1"/>
  <c r="D45" i="11"/>
  <c r="L45" i="11" s="1"/>
  <c r="C28" i="10"/>
  <c r="D28" i="10"/>
  <c r="H19" i="2"/>
  <c r="E28" i="10"/>
  <c r="I19" i="2"/>
  <c r="L30" i="11" l="1"/>
  <c r="L28" i="11"/>
  <c r="L90" i="11"/>
  <c r="D151" i="11" s="1"/>
  <c r="L127" i="11"/>
  <c r="E11" i="11" s="1"/>
  <c r="D11" i="11" l="1"/>
  <c r="L53" i="11"/>
  <c r="E151" i="11"/>
  <c r="E157" i="11" s="1"/>
  <c r="H157" i="11" s="1"/>
  <c r="D14" i="11"/>
  <c r="G41" i="1"/>
  <c r="E14" i="11"/>
  <c r="I41" i="1"/>
  <c r="E155" i="11"/>
  <c r="H155" i="11" s="1"/>
  <c r="H154" i="11" s="1"/>
  <c r="D155" i="11"/>
  <c r="G155" i="11" s="1"/>
  <c r="D161" i="11"/>
  <c r="G161" i="11" s="1"/>
  <c r="G160" i="11" s="1"/>
  <c r="G151" i="11"/>
  <c r="G150" i="11" s="1"/>
  <c r="D157" i="11"/>
  <c r="G157" i="11" s="1"/>
  <c r="C11" i="11" l="1"/>
  <c r="C151" i="11"/>
  <c r="C157" i="11" s="1"/>
  <c r="F157" i="11" s="1"/>
  <c r="E161" i="11"/>
  <c r="H161" i="11" s="1"/>
  <c r="H160" i="11" s="1"/>
  <c r="H151" i="11"/>
  <c r="H150" i="11" s="1"/>
  <c r="G154" i="11"/>
  <c r="G162" i="11" s="1"/>
  <c r="C14" i="11" l="1"/>
  <c r="E41" i="1"/>
  <c r="H162" i="11"/>
  <c r="E139" i="11" s="1"/>
  <c r="E142" i="11" s="1"/>
  <c r="I45" i="1" s="1"/>
  <c r="C161" i="11"/>
  <c r="F161" i="11" s="1"/>
  <c r="F160" i="11" s="1"/>
  <c r="F151" i="11"/>
  <c r="F150" i="11" s="1"/>
  <c r="C155" i="11"/>
  <c r="F155" i="11" s="1"/>
  <c r="F154" i="11" s="1"/>
  <c r="D139" i="11"/>
  <c r="D142" i="11" s="1"/>
  <c r="G45" i="1" s="1"/>
  <c r="F162" i="11" l="1"/>
  <c r="C139" i="11" s="1"/>
  <c r="C142" i="11" s="1"/>
  <c r="E45" i="1" s="1"/>
  <c r="I23" i="1"/>
  <c r="G23" i="1"/>
  <c r="E23" i="1"/>
  <c r="E16" i="1" s="1"/>
  <c r="L42" i="1" s="1"/>
  <c r="C16" i="6" l="1"/>
  <c r="D68" i="1" s="1"/>
  <c r="H51" i="1"/>
  <c r="F51" i="1"/>
  <c r="D51" i="1"/>
  <c r="M196" i="5"/>
  <c r="M187" i="5"/>
  <c r="F42" i="1" l="1"/>
  <c r="E157" i="5"/>
  <c r="H157" i="5" s="1"/>
  <c r="C133" i="5"/>
  <c r="C94" i="5"/>
  <c r="C55" i="5"/>
  <c r="D11" i="5" l="1"/>
  <c r="F41" i="1" s="1"/>
  <c r="E11" i="5"/>
  <c r="H41" i="1" s="1"/>
  <c r="E161" i="5"/>
  <c r="H161" i="5" s="1"/>
  <c r="E167" i="5"/>
  <c r="H167" i="5" s="1"/>
  <c r="H166" i="5" s="1"/>
  <c r="E163" i="5"/>
  <c r="H163" i="5" s="1"/>
  <c r="D157" i="5"/>
  <c r="G157" i="5" s="1"/>
  <c r="D161" i="5" l="1"/>
  <c r="G161" i="5" s="1"/>
  <c r="D167" i="5"/>
  <c r="G167" i="5" s="1"/>
  <c r="D163" i="5"/>
  <c r="G163" i="5" s="1"/>
  <c r="I75" i="1"/>
  <c r="G75" i="1"/>
  <c r="E75" i="1"/>
  <c r="I171" i="8"/>
  <c r="J172" i="8" s="1"/>
  <c r="D27" i="8" s="1"/>
  <c r="G78" i="1" s="1"/>
  <c r="E171" i="8"/>
  <c r="D171" i="8"/>
  <c r="G160" i="5" l="1"/>
  <c r="K172" i="8"/>
  <c r="E27" i="8" s="1"/>
  <c r="I78" i="1" s="1"/>
  <c r="I172" i="8"/>
  <c r="C27" i="8" s="1"/>
  <c r="E78" i="1" s="1"/>
  <c r="L43" i="8" l="1"/>
  <c r="L42" i="8"/>
  <c r="I106" i="6" l="1"/>
  <c r="C21" i="6" s="1"/>
  <c r="J106" i="6" l="1"/>
  <c r="D21" i="6" s="1"/>
  <c r="K106" i="6"/>
  <c r="E21" i="6" s="1"/>
  <c r="C17" i="6" l="1"/>
  <c r="D82" i="1" s="1"/>
  <c r="E17" i="6"/>
  <c r="H82" i="1" s="1"/>
  <c r="D17" i="6"/>
  <c r="F82" i="1" s="1"/>
  <c r="C147" i="3" l="1"/>
  <c r="D30" i="1" s="1"/>
  <c r="I46" i="1" l="1"/>
  <c r="I44" i="1" s="1"/>
  <c r="I39" i="1" s="1"/>
  <c r="H46" i="1"/>
  <c r="G46" i="1"/>
  <c r="F46" i="1"/>
  <c r="K16" i="1"/>
  <c r="I16" i="1"/>
  <c r="G16" i="1"/>
  <c r="I70" i="1"/>
  <c r="G70" i="1"/>
  <c r="G43" i="1"/>
  <c r="I43" i="1"/>
  <c r="D49" i="1"/>
  <c r="E46" i="1"/>
  <c r="E43" i="1"/>
  <c r="E70" i="1" l="1"/>
  <c r="D77" i="1"/>
  <c r="D75" i="1"/>
  <c r="D16" i="8" l="1"/>
  <c r="E16" i="8"/>
  <c r="D18" i="8"/>
  <c r="E18" i="8"/>
  <c r="C18" i="8"/>
  <c r="C16" i="8"/>
  <c r="D22" i="6"/>
  <c r="F71" i="1" s="1"/>
  <c r="E22" i="6"/>
  <c r="H71" i="1" s="1"/>
  <c r="K196" i="8"/>
  <c r="E29" i="8" s="1"/>
  <c r="I80" i="1" s="1"/>
  <c r="J196" i="8"/>
  <c r="D29" i="8" s="1"/>
  <c r="G80" i="1" s="1"/>
  <c r="I196" i="8"/>
  <c r="C29" i="8" s="1"/>
  <c r="E80" i="1" s="1"/>
  <c r="D28" i="8"/>
  <c r="G79" i="1" s="1"/>
  <c r="E28" i="8"/>
  <c r="I79" i="1" s="1"/>
  <c r="C28" i="8"/>
  <c r="E79" i="1" s="1"/>
  <c r="K163" i="8" l="1"/>
  <c r="J163" i="8"/>
  <c r="I163" i="8"/>
  <c r="E77" i="1" s="1"/>
  <c r="K154" i="8"/>
  <c r="E25" i="8" s="1"/>
  <c r="J154" i="8"/>
  <c r="D25" i="8" s="1"/>
  <c r="I154" i="8"/>
  <c r="E22" i="8" l="1"/>
  <c r="I76" i="1"/>
  <c r="D22" i="8"/>
  <c r="G76" i="1"/>
  <c r="C25" i="8"/>
  <c r="E76" i="1" s="1"/>
  <c r="C22" i="8"/>
  <c r="K144" i="8"/>
  <c r="K145" i="8" s="1"/>
  <c r="J144" i="8"/>
  <c r="J145" i="8" s="1"/>
  <c r="I144" i="8"/>
  <c r="I145" i="8" s="1"/>
  <c r="D20" i="8"/>
  <c r="C20" i="8"/>
  <c r="E71" i="1" s="1"/>
  <c r="I134" i="8"/>
  <c r="K161" i="6"/>
  <c r="K162" i="6" s="1"/>
  <c r="J161" i="6"/>
  <c r="J162" i="6" s="1"/>
  <c r="D26" i="6" s="1"/>
  <c r="I162" i="6"/>
  <c r="J133" i="6"/>
  <c r="J134" i="6" s="1"/>
  <c r="D23" i="6" s="1"/>
  <c r="K133" i="6"/>
  <c r="K134" i="6" s="1"/>
  <c r="I133" i="6"/>
  <c r="I134" i="6" s="1"/>
  <c r="D17" i="8"/>
  <c r="E17" i="8"/>
  <c r="C17" i="8"/>
  <c r="C21" i="8" l="1"/>
  <c r="E73" i="1" s="1"/>
  <c r="K134" i="8"/>
  <c r="E21" i="8" s="1"/>
  <c r="I73" i="1" s="1"/>
  <c r="J134" i="8"/>
  <c r="D21" i="8" s="1"/>
  <c r="G73" i="1" s="1"/>
  <c r="C23" i="6"/>
  <c r="E26" i="6"/>
  <c r="E23" i="6"/>
  <c r="E20" i="8"/>
  <c r="I71" i="1" s="1"/>
  <c r="C26" i="6"/>
  <c r="J62" i="8"/>
  <c r="G82" i="1" s="1"/>
  <c r="K62" i="8"/>
  <c r="I62" i="8"/>
  <c r="D80" i="1" l="1"/>
  <c r="C15" i="8"/>
  <c r="E82" i="1" s="1"/>
  <c r="E15" i="8"/>
  <c r="I82" i="1"/>
  <c r="D15" i="8"/>
  <c r="J53" i="8"/>
  <c r="D14" i="8" s="1"/>
  <c r="G67" i="1" s="1"/>
  <c r="K53" i="8"/>
  <c r="E14" i="8" s="1"/>
  <c r="I67" i="1" s="1"/>
  <c r="C14" i="8" l="1"/>
  <c r="E67" i="1" s="1"/>
  <c r="M44" i="8"/>
  <c r="D12" i="8" s="1"/>
  <c r="N44" i="8"/>
  <c r="E12" i="8" s="1"/>
  <c r="L44" i="8"/>
  <c r="C12" i="8" s="1"/>
  <c r="E66" i="1" s="1"/>
  <c r="E11" i="8" l="1"/>
  <c r="I66" i="1"/>
  <c r="I65" i="1" s="1"/>
  <c r="I62" i="1" s="1"/>
  <c r="I38" i="1" s="1"/>
  <c r="D11" i="8"/>
  <c r="G66" i="1"/>
  <c r="G65" i="1" s="1"/>
  <c r="G62" i="1" s="1"/>
  <c r="D32" i="8" l="1"/>
  <c r="H29" i="2"/>
  <c r="E32" i="8"/>
  <c r="I29" i="2"/>
  <c r="E65" i="1"/>
  <c r="E62" i="1" s="1"/>
  <c r="C11" i="8"/>
  <c r="G29" i="2" s="1"/>
  <c r="D71" i="1"/>
  <c r="H25" i="2" l="1"/>
  <c r="H32" i="2"/>
  <c r="I25" i="2"/>
  <c r="I32" i="2"/>
  <c r="C32" i="8"/>
  <c r="E16" i="6"/>
  <c r="H68" i="1" s="1"/>
  <c r="D16" i="6"/>
  <c r="F68" i="1" s="1"/>
  <c r="M38" i="6"/>
  <c r="D13" i="6" s="1"/>
  <c r="N38" i="6"/>
  <c r="E13" i="6" s="1"/>
  <c r="L38" i="6"/>
  <c r="C13" i="6" s="1"/>
  <c r="J125" i="6"/>
  <c r="D20" i="6" s="1"/>
  <c r="K125" i="6"/>
  <c r="E20" i="6" s="1"/>
  <c r="I125" i="6"/>
  <c r="D19" i="6"/>
  <c r="F70" i="1" s="1"/>
  <c r="M80" i="6"/>
  <c r="D18" i="6" s="1"/>
  <c r="N80" i="6"/>
  <c r="E18" i="6" s="1"/>
  <c r="L80" i="6"/>
  <c r="J47" i="6"/>
  <c r="K47" i="6"/>
  <c r="E15" i="6" s="1"/>
  <c r="H67" i="1" s="1"/>
  <c r="I47" i="6"/>
  <c r="C15" i="6" s="1"/>
  <c r="D67" i="1" s="1"/>
  <c r="E49" i="1"/>
  <c r="G25" i="2" l="1"/>
  <c r="G32" i="2"/>
  <c r="D12" i="6"/>
  <c r="H16" i="2" s="1"/>
  <c r="H31" i="2" s="1"/>
  <c r="H66" i="1"/>
  <c r="G44" i="1"/>
  <c r="G39" i="1" s="1"/>
  <c r="G38" i="1" s="1"/>
  <c r="M42" i="1" s="1"/>
  <c r="D72" i="1"/>
  <c r="C20" i="6"/>
  <c r="D69" i="1"/>
  <c r="C18" i="6"/>
  <c r="C12" i="6" s="1"/>
  <c r="E19" i="6"/>
  <c r="E12" i="6" s="1"/>
  <c r="I16" i="2" s="1"/>
  <c r="I31" i="2" s="1"/>
  <c r="F66" i="1"/>
  <c r="D66" i="1"/>
  <c r="E44" i="1"/>
  <c r="E39" i="1" s="1"/>
  <c r="E38" i="1" s="1"/>
  <c r="L43" i="1" l="1"/>
  <c r="G16" i="2"/>
  <c r="D65" i="1"/>
  <c r="D62" i="1" s="1"/>
  <c r="F65" i="1"/>
  <c r="F62" i="1" s="1"/>
  <c r="I15" i="2"/>
  <c r="H70" i="1"/>
  <c r="H65" i="1" s="1"/>
  <c r="E29" i="6"/>
  <c r="D29" i="6"/>
  <c r="H15" i="2"/>
  <c r="L196" i="5"/>
  <c r="N196" i="5"/>
  <c r="L187" i="5"/>
  <c r="N186" i="5"/>
  <c r="N187" i="5" s="1"/>
  <c r="G31" i="2" l="1"/>
  <c r="G30" i="2" s="1"/>
  <c r="H18" i="2"/>
  <c r="H14" i="2" s="1"/>
  <c r="H6" i="2" s="1"/>
  <c r="H30" i="2"/>
  <c r="G18" i="2"/>
  <c r="H62" i="1"/>
  <c r="H42" i="1"/>
  <c r="D42" i="1"/>
  <c r="C29" i="6"/>
  <c r="I18" i="2" l="1"/>
  <c r="I14" i="2" s="1"/>
  <c r="I6" i="2" s="1"/>
  <c r="I30" i="2"/>
  <c r="G15" i="2"/>
  <c r="G14" i="2" l="1"/>
  <c r="G6" i="2" s="1"/>
  <c r="G166" i="5"/>
  <c r="G156" i="5"/>
  <c r="G168" i="5" s="1"/>
  <c r="D145" i="5" l="1"/>
  <c r="D148" i="5" s="1"/>
  <c r="F45" i="1" s="1"/>
  <c r="F44" i="1" s="1"/>
  <c r="E147" i="3"/>
  <c r="H30" i="1" s="1"/>
  <c r="F39" i="1" l="1"/>
  <c r="E14" i="5"/>
  <c r="D189" i="3"/>
  <c r="E189" i="3"/>
  <c r="C189" i="3"/>
  <c r="D147" i="3"/>
  <c r="E152" i="3"/>
  <c r="C152" i="3"/>
  <c r="D152" i="3" l="1"/>
  <c r="F30" i="1"/>
  <c r="D14" i="5"/>
  <c r="J102" i="3"/>
  <c r="K102" i="3"/>
  <c r="I102" i="3"/>
  <c r="J91" i="3" l="1"/>
  <c r="K91" i="3"/>
  <c r="I89" i="3"/>
  <c r="I90" i="3"/>
  <c r="I91" i="3" l="1"/>
  <c r="D72" i="3"/>
  <c r="E72" i="3"/>
  <c r="E71" i="3" s="1"/>
  <c r="F22" i="1"/>
  <c r="F16" i="1" s="1"/>
  <c r="M38" i="1" s="1"/>
  <c r="M39" i="1" s="1"/>
  <c r="D71" i="3"/>
  <c r="C157" i="5"/>
  <c r="F157" i="5" s="1"/>
  <c r="C11" i="5"/>
  <c r="H22" i="1" l="1"/>
  <c r="H16" i="1" s="1"/>
  <c r="N38" i="1" s="1"/>
  <c r="C72" i="3"/>
  <c r="D22" i="1" s="1"/>
  <c r="C14" i="5"/>
  <c r="D41" i="1" s="1"/>
  <c r="C163" i="5"/>
  <c r="F163" i="5" s="1"/>
  <c r="C161" i="5"/>
  <c r="C167" i="5"/>
  <c r="D78" i="3"/>
  <c r="E78" i="3"/>
  <c r="C71" i="3" l="1"/>
  <c r="C78" i="3" s="1"/>
  <c r="D16" i="1"/>
  <c r="L38" i="1" s="1"/>
  <c r="H160" i="5"/>
  <c r="F161" i="5"/>
  <c r="F160" i="5" s="1"/>
  <c r="F167" i="5"/>
  <c r="F166" i="5" s="1"/>
  <c r="F156" i="5"/>
  <c r="F168" i="5" s="1"/>
  <c r="H156" i="5"/>
  <c r="H168" i="5" s="1"/>
  <c r="C145" i="5" l="1"/>
  <c r="C148" i="5" s="1"/>
  <c r="D45" i="1" s="1"/>
  <c r="E145" i="5"/>
  <c r="E148" i="5" s="1"/>
  <c r="H45" i="1" s="1"/>
  <c r="H44" i="1" s="1"/>
  <c r="H39" i="1" l="1"/>
  <c r="N39" i="1" s="1"/>
  <c r="D44" i="1"/>
  <c r="D39" i="1" s="1"/>
  <c r="D38" i="1" s="1"/>
  <c r="L39" i="1" s="1"/>
</calcChain>
</file>

<file path=xl/sharedStrings.xml><?xml version="1.0" encoding="utf-8"?>
<sst xmlns="http://schemas.openxmlformats.org/spreadsheetml/2006/main" count="4375" uniqueCount="685">
  <si>
    <t>первый год планового периода</t>
  </si>
  <si>
    <t>х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</si>
  <si>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</si>
  <si>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 xml:space="preserve"> ПЛАН</t>
  </si>
  <si>
    <t>Раздел 1. Поступления и выплаты</t>
  </si>
  <si>
    <t>Раздел 2. Сведения по выплатам на закупки товаров, работ, услуг</t>
  </si>
  <si>
    <t>Раздел 3. Обоснования (расчеты) плановых показателей поступлений и выплат</t>
  </si>
  <si>
    <t>на 2020 г.</t>
  </si>
  <si>
    <t>на 2021 г.</t>
  </si>
  <si>
    <t>на 2022 г.</t>
  </si>
  <si>
    <t>доходы от оказания услуг, выполнения работ за плату сверх установленного муниципального задания и иной приносящей доход леятельности, предусмотренной уставом учреждения</t>
  </si>
  <si>
    <r>
      <rPr>
        <sz val="12"/>
        <rFont val="Times New Roman"/>
        <family val="1"/>
        <charset val="204"/>
      </rPr>
      <t>Наименование показателя</t>
    </r>
  </si>
  <si>
    <r>
      <rPr>
        <sz val="12"/>
        <rFont val="Times New Roman"/>
        <family val="1"/>
        <charset val="204"/>
      </rPr>
      <t>1</t>
    </r>
  </si>
  <si>
    <r>
      <rPr>
        <sz val="12"/>
        <rFont val="Times New Roman"/>
        <family val="1"/>
        <charset val="204"/>
      </rPr>
      <t>Задолженность по доходам (дебиторская задолженность по доходам) на начало года</t>
    </r>
  </si>
  <si>
    <r>
      <rPr>
        <sz val="12"/>
        <rFont val="Times New Roman"/>
        <family val="1"/>
        <charset val="204"/>
      </rPr>
      <t>Полученные предварительные платежи (авансы) по контрактам (договорам) (кредиторская задолженность по доходам) на начало года</t>
    </r>
  </si>
  <si>
    <r>
      <rPr>
        <sz val="12"/>
        <rFont val="Times New Roman"/>
        <family val="1"/>
        <charset val="204"/>
      </rPr>
      <t>Задолженность по доходам (дебиторская задолженность по доходам) на конец года</t>
    </r>
  </si>
  <si>
    <r>
      <rPr>
        <sz val="12"/>
        <rFont val="Times New Roman"/>
        <family val="1"/>
        <charset val="204"/>
      </rPr>
      <t>Итого</t>
    </r>
  </si>
  <si>
    <r>
      <rPr>
        <sz val="12"/>
        <rFont val="Times New Roman"/>
        <family val="1"/>
        <charset val="204"/>
      </rPr>
      <t>Планируемые поступления доходов от оказания услуг, компенсации затрат учреждения (с. 0100 - с. 0200 + с. 0300 - с. 0400 + с. 0500)</t>
    </r>
  </si>
  <si>
    <r>
      <rPr>
        <sz val="14"/>
        <rFont val="Times New Roman"/>
        <family val="1"/>
        <charset val="204"/>
      </rPr>
      <t>3.5. Обоснование (расчет) плановых показателей поступлений доходов</t>
    </r>
  </si>
  <si>
    <r>
      <rPr>
        <sz val="14"/>
        <rFont val="Times New Roman"/>
        <family val="1"/>
        <charset val="204"/>
      </rPr>
      <t>по статье "Доходы от операций с активами"</t>
    </r>
  </si>
  <si>
    <r>
      <rPr>
        <sz val="12"/>
        <rFont val="Times New Roman"/>
        <family val="1"/>
        <charset val="204"/>
      </rPr>
      <t>Доходы от операций с активами, всего</t>
    </r>
  </si>
  <si>
    <r>
      <rPr>
        <sz val="12"/>
        <rFont val="Times New Roman"/>
        <family val="1"/>
        <charset val="204"/>
      </rPr>
      <t>в том числе: реализация неиспользуемого имущества</t>
    </r>
  </si>
  <si>
    <r>
      <rPr>
        <sz val="12"/>
        <rFont val="Times New Roman"/>
        <family val="1"/>
        <charset val="204"/>
      </rPr>
      <t>реализация утиля, лома черных и цветных металлов</t>
    </r>
  </si>
  <si>
    <r>
      <rPr>
        <sz val="12"/>
        <rFont val="Times New Roman"/>
        <family val="1"/>
        <charset val="204"/>
      </rPr>
      <t>Полученные предварительные платежи</t>
    </r>
  </si>
  <si>
    <r>
      <rPr>
        <sz val="12"/>
        <rFont val="Times New Roman"/>
        <family val="1"/>
        <charset val="204"/>
      </rPr>
      <t>(авансы) по контрактам (договорам) (кредиторская задолженность по доходам) на конец года</t>
    </r>
  </si>
  <si>
    <r>
      <rPr>
        <sz val="14"/>
        <rFont val="Times New Roman"/>
        <family val="1"/>
        <charset val="204"/>
      </rPr>
      <t>3.6. Обоснование (расчет) плановых показателей по выплатам по оплате</t>
    </r>
  </si>
  <si>
    <r>
      <rPr>
        <sz val="14"/>
        <rFont val="Times New Roman"/>
        <family val="1"/>
        <charset val="204"/>
      </rPr>
      <t>труда работников учреждения</t>
    </r>
  </si>
  <si>
    <r>
      <rPr>
        <sz val="14"/>
        <rFont val="Times New Roman"/>
        <family val="1"/>
        <charset val="204"/>
      </rPr>
      <t>3.6.1. Обоснование (расчет) плановых показателей по выплатам по</t>
    </r>
  </si>
  <si>
    <r>
      <rPr>
        <sz val="14"/>
        <rFont val="Times New Roman"/>
        <family val="1"/>
        <charset val="204"/>
      </rPr>
      <t>элементу вида расходов классификации расходов бюджетов 111 "Фонд</t>
    </r>
  </si>
  <si>
    <r>
      <rPr>
        <sz val="14"/>
        <rFont val="Times New Roman"/>
        <family val="1"/>
        <charset val="204"/>
      </rPr>
      <t>оплаты труда учреждений" (заполняется раздельно по источникам</t>
    </r>
  </si>
  <si>
    <r>
      <rPr>
        <sz val="14"/>
        <rFont val="Times New Roman"/>
        <family val="1"/>
        <charset val="204"/>
      </rPr>
      <t>финансового обеспечения)</t>
    </r>
  </si>
  <si>
    <r>
      <rPr>
        <sz val="12"/>
        <rFont val="Times New Roman"/>
        <family val="1"/>
        <charset val="204"/>
      </rPr>
      <t>Задолженность перед персоналом по оплате труда (кредиторская задолженность) на начало года</t>
    </r>
  </si>
  <si>
    <r>
      <rPr>
        <sz val="12"/>
        <rFont val="Times New Roman"/>
        <family val="1"/>
        <charset val="204"/>
      </rPr>
      <t>Задолженность персонала по полученным авансам (дебиторская задолженность) на начало года</t>
    </r>
  </si>
  <si>
    <r>
      <rPr>
        <sz val="12"/>
        <rFont val="Times New Roman"/>
        <family val="1"/>
        <charset val="204"/>
      </rPr>
      <t>Фонд оплаты труда</t>
    </r>
  </si>
  <si>
    <r>
      <rPr>
        <sz val="12"/>
        <rFont val="Times New Roman"/>
        <family val="1"/>
        <charset val="204"/>
      </rPr>
      <t>Задолженность перед персоналом по оплате труда (кредиторская задолженность) на конец года</t>
    </r>
  </si>
  <si>
    <r>
      <rPr>
        <sz val="12"/>
        <rFont val="Times New Roman"/>
        <family val="1"/>
        <charset val="204"/>
      </rPr>
      <t>Задолженность персонала по полученным авансам (дебиторская задолженность) на конец года</t>
    </r>
  </si>
  <si>
    <r>
      <rPr>
        <sz val="12"/>
        <rFont val="Times New Roman"/>
        <family val="1"/>
        <charset val="204"/>
      </rPr>
      <t>Планируемые выплаты на оплату труда (с. 0100 - с. 0200 + с. 0300 - с. 0400 + с. 0500)</t>
    </r>
  </si>
  <si>
    <r>
      <rPr>
        <sz val="12"/>
        <rFont val="Times New Roman"/>
        <family val="1"/>
        <charset val="204"/>
      </rPr>
      <t>Наименование расходов</t>
    </r>
  </si>
  <si>
    <t>на 20__ г.</t>
  </si>
  <si>
    <r>
      <rPr>
        <sz val="14"/>
        <rFont val="Times New Roman"/>
        <family val="1"/>
        <charset val="204"/>
      </rPr>
      <t>3.11. Обоснование (расчет) плановых показателей по расходам на безвозмездное перечисление организациям и</t>
    </r>
  </si>
  <si>
    <r>
      <rPr>
        <sz val="14"/>
        <rFont val="Times New Roman"/>
        <family val="1"/>
        <charset val="204"/>
      </rPr>
      <t>физическим лицам (заполняется раздельно по источникам финансового обеспечения)</t>
    </r>
  </si>
  <si>
    <r>
      <rPr>
        <sz val="14"/>
        <rFont val="Times New Roman"/>
        <family val="1"/>
        <charset val="204"/>
      </rPr>
      <t>3.12. Обоснование (расчет) плановых показателей по прочим расходам (кроме расходов на закупку товаров, работ и</t>
    </r>
  </si>
  <si>
    <r>
      <rPr>
        <sz val="14"/>
        <rFont val="Times New Roman"/>
        <family val="1"/>
        <charset val="204"/>
      </rPr>
      <t>услуг) (заполняется раздельно по источникам финансового обеспечения)</t>
    </r>
  </si>
  <si>
    <t>Сумма, руб.</t>
  </si>
  <si>
    <t>(текущий финансовый год)</t>
  </si>
  <si>
    <t>(первый год планового периода)</t>
  </si>
  <si>
    <t>(второй год планового периода)</t>
  </si>
  <si>
    <t>3</t>
  </si>
  <si>
    <t>4</t>
  </si>
  <si>
    <t>5</t>
  </si>
  <si>
    <t>Плата (тариф) арендной платы за единицу площади (объект), руб.</t>
  </si>
  <si>
    <t>на 20 г.</t>
  </si>
  <si>
    <t>6</t>
  </si>
  <si>
    <t>7</t>
  </si>
  <si>
    <t>Среднегодовой объем средств, на которые начисляются проценты, руб.</t>
  </si>
  <si>
    <t>(текущий финансовы й год)</t>
  </si>
  <si>
    <t>Плата (тариф) за единицу услуги (работы), руб.</t>
  </si>
  <si>
    <t>Установленная численность, единиц</t>
  </si>
  <si>
    <t>по должностному окладу</t>
  </si>
  <si>
    <t>Размер базы для начисления страховых взносов, руб.</t>
  </si>
  <si>
    <t>Средний размер выплаты на одного работника в день, руб.</t>
  </si>
  <si>
    <t>Численность работников, получающих пособие, чел.</t>
  </si>
  <si>
    <t>Размер одной выплаты, руб.</t>
  </si>
  <si>
    <t>Налоговая база, руб.</t>
  </si>
  <si>
    <t>Количество номеров, ед.</t>
  </si>
  <si>
    <t>Количество услуг перевозки</t>
  </si>
  <si>
    <t>Расчетное потребление ресурсов</t>
  </si>
  <si>
    <t>Арендуемая площадь (количество объектов), кв. м (ед.)</t>
  </si>
  <si>
    <t>Объект</t>
  </si>
  <si>
    <t>Количество застрахованных сотрудников, застрахованного имущества, чел. (ед.)</t>
  </si>
  <si>
    <t>Создание спектаклей, Кукольный спектакль, малая форма (камерный спектакль)</t>
  </si>
  <si>
    <t>Организация и проведение культурно-массовых мероприятий; Культурно-массовых (иные зрелищные мероприятия); бесплатная</t>
  </si>
  <si>
    <t>Код строки</t>
  </si>
  <si>
    <t>2</t>
  </si>
  <si>
    <t>0100</t>
  </si>
  <si>
    <t>0200</t>
  </si>
  <si>
    <t>0300</t>
  </si>
  <si>
    <t>0310</t>
  </si>
  <si>
    <t>0320</t>
  </si>
  <si>
    <t>0330</t>
  </si>
  <si>
    <t>0340</t>
  </si>
  <si>
    <t>0350</t>
  </si>
  <si>
    <t>0360</t>
  </si>
  <si>
    <t>0370</t>
  </si>
  <si>
    <t>0380</t>
  </si>
  <si>
    <t>0390</t>
  </si>
  <si>
    <t>0400</t>
  </si>
  <si>
    <t>0500</t>
  </si>
  <si>
    <t>0600</t>
  </si>
  <si>
    <t>Планируемый объем предоставления имущества в аренду (в натуральных показателях)</t>
  </si>
  <si>
    <t>Объем планируемых поступлений, руб.</t>
  </si>
  <si>
    <t>8</t>
  </si>
  <si>
    <t>9</t>
  </si>
  <si>
    <t>10</t>
  </si>
  <si>
    <t>11</t>
  </si>
  <si>
    <t>9000</t>
  </si>
  <si>
    <t>Ставка размещения, %</t>
  </si>
  <si>
    <t>Сумма доходов в виде процентов, руб.</t>
  </si>
  <si>
    <t>0001</t>
  </si>
  <si>
    <t>0002</t>
  </si>
  <si>
    <t>Ставка, %</t>
  </si>
  <si>
    <t>Планируемый объем оказания услуг (выполнения работ)</t>
  </si>
  <si>
    <t>Общий объем планируемых поступлений, руб.</t>
  </si>
  <si>
    <r>
      <t>0003</t>
    </r>
    <r>
      <rPr>
        <sz val="11"/>
        <color theme="1"/>
        <rFont val="Calibri"/>
        <family val="2"/>
        <charset val="204"/>
        <scheme val="minor"/>
      </rPr>
      <t/>
    </r>
  </si>
  <si>
    <r>
      <t>0004</t>
    </r>
    <r>
      <rPr>
        <sz val="11"/>
        <color theme="1"/>
        <rFont val="Calibri"/>
        <family val="2"/>
        <charset val="204"/>
        <scheme val="minor"/>
      </rPr>
      <t/>
    </r>
  </si>
  <si>
    <r>
      <t>0005</t>
    </r>
    <r>
      <rPr>
        <sz val="11"/>
        <color theme="1"/>
        <rFont val="Calibri"/>
        <family val="2"/>
        <charset val="204"/>
        <scheme val="minor"/>
      </rPr>
      <t/>
    </r>
  </si>
  <si>
    <t>Объем услуг, планируемый к возмещению</t>
  </si>
  <si>
    <t>Среднемесячный размер оплаты труда на одного работника, руб.</t>
  </si>
  <si>
    <t>Фонд оплаты труда в год (гр. 3 x гр. 4 x 12)</t>
  </si>
  <si>
    <t>в том числе:</t>
  </si>
  <si>
    <t>северная надбавка</t>
  </si>
  <si>
    <t>районный коэффициент</t>
  </si>
  <si>
    <t>%</t>
  </si>
  <si>
    <t>сумма (гр. 5 + гр. 6 + гр. 7) x гр. 8 / 100</t>
  </si>
  <si>
    <t>сумма (гр. 5 + гр. 6 + гр. 7) x гр. 10 / 100</t>
  </si>
  <si>
    <t>12</t>
  </si>
  <si>
    <t>Сумма взноса, руб.</t>
  </si>
  <si>
    <t>0110</t>
  </si>
  <si>
    <t>0120</t>
  </si>
  <si>
    <t>0130</t>
  </si>
  <si>
    <t>0210</t>
  </si>
  <si>
    <t>0220</t>
  </si>
  <si>
    <t>0230</t>
  </si>
  <si>
    <t>0240</t>
  </si>
  <si>
    <t>Количество работников, чел.</t>
  </si>
  <si>
    <t>Количество дней, дн.</t>
  </si>
  <si>
    <t>13</t>
  </si>
  <si>
    <t>14</t>
  </si>
  <si>
    <t>Количество выплат в год на одного работника, шт.</t>
  </si>
  <si>
    <t>Количество выплат в год</t>
  </si>
  <si>
    <t>Общая сумма выплат, руб.</t>
  </si>
  <si>
    <t>Ставка налога, %</t>
  </si>
  <si>
    <t>Сумма начисленного налога, подлежащего уплате, руб.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</si>
  <si>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</si>
  <si>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</si>
  <si>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</si>
  <si>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</si>
  <si>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</si>
  <si>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</si>
  <si>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</si>
  <si>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</si>
  <si>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</si>
  <si>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Количество платежей в год</t>
  </si>
  <si>
    <t>Стоимость за единицу, руб.</t>
  </si>
  <si>
    <t>Код строк и</t>
  </si>
  <si>
    <t>Цена услуги перевозки, руб.</t>
  </si>
  <si>
    <t>Тариф (с учетом НДС), руб.</t>
  </si>
  <si>
    <t>Продолжительность аренды (месяц, день, час)</t>
  </si>
  <si>
    <t>Цена аренды в месяц (день, час), руб.</t>
  </si>
  <si>
    <t>Количество работ (услуг)</t>
  </si>
  <si>
    <t>Базовые ставки страховых тарифов с учетом поправочных коэффициентов к ним, руб.</t>
  </si>
  <si>
    <t>Организация и проведение культурно-массовых мероприятий; фестивали, конкурсы,смотры; бесплатная</t>
  </si>
  <si>
    <t>0003</t>
  </si>
  <si>
    <t>Водитель автомобиля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</si>
  <si>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</si>
  <si>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</si>
  <si>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</si>
  <si>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</si>
  <si>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</si>
  <si>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</si>
  <si>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</si>
  <si>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</si>
  <si>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</si>
  <si>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</si>
  <si>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</si>
  <si>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</si>
  <si>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</si>
  <si>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</si>
  <si>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</si>
  <si>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</si>
  <si>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</si>
  <si>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</si>
  <si>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</si>
  <si>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</si>
  <si>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</si>
  <si>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</si>
  <si>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</si>
  <si>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</si>
  <si>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</si>
  <si>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по выплатам компенсационного характера(20%ЗАТО)</t>
  </si>
  <si>
    <t>Х</t>
  </si>
  <si>
    <t>Возмещение суточных расходов в командировки</t>
  </si>
  <si>
    <t>Возмещение расходов на проезд и проживания в командировки</t>
  </si>
  <si>
    <t>Возмещение расходов на прохождение медосмотра при трудоустройстве</t>
  </si>
  <si>
    <t>Госпошлины и сборы</t>
  </si>
  <si>
    <t>Взносы в гильдию театральных менеджеров</t>
  </si>
  <si>
    <t>Холодная вода</t>
  </si>
  <si>
    <t>Водоотведение (стоки холодной и горячей воды)</t>
  </si>
  <si>
    <t>Горячая вода на тепловую энергию</t>
  </si>
  <si>
    <t xml:space="preserve">Абонентская плата за услуги телефонной связи </t>
  </si>
  <si>
    <t>1</t>
  </si>
  <si>
    <t xml:space="preserve">Итого: </t>
  </si>
  <si>
    <t>Услуги по обращению с  ТКО</t>
  </si>
  <si>
    <t>Наименование показателя</t>
  </si>
  <si>
    <t>Задолженность перед персоналом по оплате труда (кредиторская задолженность) на начало года</t>
  </si>
  <si>
    <t>Задолженность персонала по полученным авансам (дебиторская задолженность) на начало года</t>
  </si>
  <si>
    <t>Фонд оплаты труда</t>
  </si>
  <si>
    <t>Задолженность перед персоналом по оплате труда (кредиторская задолженность) на конец года</t>
  </si>
  <si>
    <t>Задолженность персонала по полученным авансам (дебиторская задолженность) на конец года</t>
  </si>
  <si>
    <t>Планируемые выплаты на оплату труда (с. 0100 - с. 0200 + с. 0300 - с. 0400 + с. 0500)</t>
  </si>
  <si>
    <t>Комплексное обслуживание здания</t>
  </si>
  <si>
    <t>Почтовые услуги</t>
  </si>
  <si>
    <t>Тепловая энергия</t>
  </si>
  <si>
    <t>ТО центральных часов</t>
  </si>
  <si>
    <t>Количество ОС</t>
  </si>
  <si>
    <t>Цена  одной единицы, руб.</t>
  </si>
  <si>
    <t>Подарочно-сувенирная продукция</t>
  </si>
  <si>
    <t>Количество МЗ</t>
  </si>
  <si>
    <t>доходы от оказания услуг, выполнения работ, за плату сверх установленного муниципального задания и иной приносящей доход деятельности, предусмотренной уставом учреждения</t>
  </si>
  <si>
    <t>1000</t>
  </si>
  <si>
    <t>1100</t>
  </si>
  <si>
    <t>120</t>
  </si>
  <si>
    <t>1110</t>
  </si>
  <si>
    <t>1120</t>
  </si>
  <si>
    <t>1130</t>
  </si>
  <si>
    <t>1200</t>
  </si>
  <si>
    <t>130</t>
  </si>
  <si>
    <t>1210</t>
  </si>
  <si>
    <t>1220</t>
  </si>
  <si>
    <t>1230</t>
  </si>
  <si>
    <t>1240</t>
  </si>
  <si>
    <t>1300</t>
  </si>
  <si>
    <t>140</t>
  </si>
  <si>
    <t>1310</t>
  </si>
  <si>
    <t>1500</t>
  </si>
  <si>
    <t>180</t>
  </si>
  <si>
    <t>1900</t>
  </si>
  <si>
    <t>1980</t>
  </si>
  <si>
    <t>1981</t>
  </si>
  <si>
    <t>510</t>
  </si>
  <si>
    <t>2000</t>
  </si>
  <si>
    <t>2100</t>
  </si>
  <si>
    <t>расходы на закупку товаров, работ, услуг, всего:</t>
  </si>
  <si>
    <t>оплата работ, услуг (ст.226)</t>
  </si>
  <si>
    <t>Код по бюджетной классификации Российской Федерации</t>
  </si>
  <si>
    <t>Сумма, руб. (с точностью до двух знаков после запятой - 0,00)</t>
  </si>
  <si>
    <t>за пределами планового периода</t>
  </si>
  <si>
    <t>текущий финансовый год</t>
  </si>
  <si>
    <t>второй год планового периода</t>
  </si>
  <si>
    <t>субсидии</t>
  </si>
  <si>
    <t>поступления от приносящей доход деятельности</t>
  </si>
  <si>
    <t>Остаток средств на начало текущего финансового года</t>
  </si>
  <si>
    <t>Остаток средств на конец текущего финансового года</t>
  </si>
  <si>
    <t>Доходы, всего:</t>
  </si>
  <si>
    <t>в том числе: доходы от собственности, всего</t>
  </si>
  <si>
    <t>в том числе: доходы, получаемые в виде арендной либо иной платы за передачу в возмездное пользование муниципального имущества</t>
  </si>
  <si>
    <t>доходы в виде процентов по депозитам автономных учреждений в кредитных организациях</t>
  </si>
  <si>
    <t>доходы от оказания услуг, работ, компенсации затрат учреждений, всего</t>
  </si>
  <si>
    <t>в том числе: субсидии на финансовое обеспечение выполнения муниципального задания</t>
  </si>
  <si>
    <t>доходы от оказания услуг, выполнения работ, в рамках установленного муниципального задания</t>
  </si>
  <si>
    <t>доходы, поступающие в порядке возмещения расходов, понесенных в связи с эксплуатацией имущества, находящегося в оперативном управлении учреждения</t>
  </si>
  <si>
    <t>доходы от штрафов, пеней, иных сумм принудительного изъятия, всего</t>
  </si>
  <si>
    <t>прочие доходы, всего</t>
  </si>
  <si>
    <t>в том числе: целевые субсидии</t>
  </si>
  <si>
    <t>субсидии на осуществление капитальных вложений</t>
  </si>
  <si>
    <t>доходы от операций с активами, всего</t>
  </si>
  <si>
    <t>прочие поступления, всего</t>
  </si>
  <si>
    <t>из них: увеличение остатков денежных средств за счет возврата дебиторской задолженности прошлых лет</t>
  </si>
  <si>
    <t>Расходы, всего</t>
  </si>
  <si>
    <t>в том числе: на выплаты персоналу, всего</t>
  </si>
  <si>
    <t>ФИНАНСОВО-ХОЗЯЙСТВЕННОЙ ДЕЯТЕЛЬНОСТИ</t>
  </si>
  <si>
    <t>МУНИЦИПАЛЬНОГО УЧРЕЖДЕНИЯ</t>
  </si>
  <si>
    <t>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</si>
  <si>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</si>
  <si>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</si>
  <si>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</si>
  <si>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</si>
  <si>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</si>
  <si>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в т.ч.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</si>
  <si>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</si>
  <si>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</si>
  <si>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</si>
  <si>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</si>
  <si>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</si>
  <si>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 на выплаты по оплате труда</t>
  </si>
  <si>
    <t>2141</t>
  </si>
  <si>
    <t>на иные выплаты работникам</t>
  </si>
  <si>
    <t>2142</t>
  </si>
  <si>
    <t>социальные и иные выплаты населению, всего, в т.ч.</t>
  </si>
  <si>
    <t>2200</t>
  </si>
  <si>
    <t>300</t>
  </si>
  <si>
    <t>уплата налогов, сборов и иных платежей, всего</t>
  </si>
  <si>
    <t>2300</t>
  </si>
  <si>
    <t>850</t>
  </si>
  <si>
    <t>из них: 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</si>
  <si>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</si>
  <si>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</si>
  <si>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</si>
  <si>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</si>
  <si>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</si>
  <si>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 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</si>
  <si>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</si>
  <si>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</si>
  <si>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</si>
  <si>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</si>
  <si>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2410</t>
  </si>
  <si>
    <t>взносы в международные организации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</si>
  <si>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</si>
  <si>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</si>
  <si>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</si>
  <si>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</si>
  <si>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</si>
  <si>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</si>
  <si>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</si>
  <si>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</si>
  <si>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2600</t>
  </si>
  <si>
    <t>2610</t>
  </si>
  <si>
    <t>244</t>
  </si>
  <si>
    <t>2630</t>
  </si>
  <si>
    <t>капитальные вложения в объекты муниципальной собственности, всего</t>
  </si>
  <si>
    <t>400</t>
  </si>
  <si>
    <t>в том числе: приобретение объектов недвижимого имущества муниципальными учреждениями</t>
  </si>
  <si>
    <t>406</t>
  </si>
  <si>
    <t>строительство (реконструкция) объектов недвижимого имущества муниципальными учреждениями</t>
  </si>
  <si>
    <t>407</t>
  </si>
  <si>
    <t>Выплаты, уменьшающие доход, всего</t>
  </si>
  <si>
    <t>100</t>
  </si>
  <si>
    <t>в том числе: налог на прибыль</t>
  </si>
  <si>
    <t>налог на добавленную стоимость</t>
  </si>
  <si>
    <t>прочие налоги, уменьшающие доход</t>
  </si>
  <si>
    <t>Прочие выплаты, всего</t>
  </si>
  <si>
    <t>из них: возврат в бюджет средств субсидии</t>
  </si>
  <si>
    <t>610</t>
  </si>
  <si>
    <t>обязательное страхование (ст.227)</t>
  </si>
  <si>
    <t>приобретение объектов движимого имущества (ст.310)</t>
  </si>
  <si>
    <t>приобретение продуктов питания (ст.342)</t>
  </si>
  <si>
    <t>приобретение горюче-смазочных материалов (ст.343)</t>
  </si>
  <si>
    <t>приобретение строительных материалов (ст.344)</t>
  </si>
  <si>
    <t>приобретение прочих оборотных запасов (материалов) (ст.346)</t>
  </si>
  <si>
    <t>услуги связи (ст.221)</t>
  </si>
  <si>
    <t>коммунальные услуги (ст.223)</t>
  </si>
  <si>
    <t>услуги аренды (ст.224)</t>
  </si>
  <si>
    <t>приобретение материальных запасов однократного применения (ст.349)</t>
  </si>
  <si>
    <t>в том числе: закупку научноисследовательских и опытно- конструкторских работ</t>
  </si>
  <si>
    <t>241</t>
  </si>
  <si>
    <t>закупку товаров, работ, услуг в целях капитального ремонта муниципального имущества</t>
  </si>
  <si>
    <t>243</t>
  </si>
  <si>
    <t>транспортные услуги (ст.222)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</si>
  <si>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</si>
  <si>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Должность, группа должностей</t>
  </si>
  <si>
    <r>
      <t xml:space="preserve">всего </t>
    </r>
    <r>
      <rPr>
        <vertAlign val="superscript"/>
        <sz val="10"/>
        <rFont val="Times New Roman"/>
        <family val="1"/>
        <charset val="204"/>
      </rPr>
      <t>(</t>
    </r>
    <r>
      <rPr>
        <sz val="10"/>
        <rFont val="Times New Roman"/>
        <family val="1"/>
        <charset val="204"/>
      </rPr>
      <t xml:space="preserve">гр. </t>
    </r>
    <r>
      <rPr>
        <vertAlign val="superscript"/>
        <sz val="10"/>
        <rFont val="Times New Roman"/>
        <family val="1"/>
        <charset val="204"/>
      </rPr>
      <t xml:space="preserve">5 </t>
    </r>
    <r>
      <rPr>
        <sz val="10"/>
        <rFont val="Times New Roman"/>
        <family val="1"/>
        <charset val="204"/>
      </rPr>
      <t>+ гр. 6 + гр. 7 + гр. 9 + гр. 11)</t>
    </r>
  </si>
  <si>
    <t>Выплаты на закупку товаров, работ, услуг, всего</t>
  </si>
  <si>
    <t>в том числе: по контрактам (договорам), заключенным до начала текущего финансового года без применения норм Федерального закона от 05.04.2013 N 44-ФЗ "О контрактной системе в сфере закупок товаров, работ, услуг для обеспечения государственных и муниципальных нужд" (далее -Федеральный закон N 44-ФЗ) и Федерального закона от 18.07.2011 N 223-ФЗ "О закупках товаров, работ, услуг отдельными видами юридических лиц" (далее - Федеральный закон N 223-ФЗ)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</si>
  <si>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</si>
  <si>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</si>
  <si>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</si>
  <si>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в том числе: в соответствии с Федеральным законом N 44-ФЗ</t>
  </si>
  <si>
    <t>в соответствии с Федеральным законом N 223-ФЗ</t>
  </si>
  <si>
    <t>за счет субсидий, предоставляемых на осуществление капитальных вложений</t>
  </si>
  <si>
    <t>за счет прочих источников финансового обеспечения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</si>
  <si>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</si>
  <si>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в том числе по году начала закупки: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</si>
  <si>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</si>
  <si>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приобретение мягкого инвентаря (ст.345)</t>
  </si>
  <si>
    <t>1.1</t>
  </si>
  <si>
    <t>1.2</t>
  </si>
  <si>
    <t>1.3</t>
  </si>
  <si>
    <t>1.4</t>
  </si>
  <si>
    <t>1.4.1</t>
  </si>
  <si>
    <t>1.4.1.1</t>
  </si>
  <si>
    <t>1.4.1.2</t>
  </si>
  <si>
    <t>1.4.2</t>
  </si>
  <si>
    <t>1.4.2.1</t>
  </si>
  <si>
    <t>1.4.2.2</t>
  </si>
  <si>
    <t>1.4.3</t>
  </si>
  <si>
    <t>1.4.4</t>
  </si>
  <si>
    <t>1.4.4.1</t>
  </si>
  <si>
    <t>1.4.4.2</t>
  </si>
  <si>
    <t>2.</t>
  </si>
  <si>
    <t>3.</t>
  </si>
  <si>
    <t>26000</t>
  </si>
  <si>
    <t>26100</t>
  </si>
  <si>
    <t>26200</t>
  </si>
  <si>
    <t>26300</t>
  </si>
  <si>
    <t>26400</t>
  </si>
  <si>
    <t>26410</t>
  </si>
  <si>
    <t>26411</t>
  </si>
  <si>
    <t>26412</t>
  </si>
  <si>
    <t>26420</t>
  </si>
  <si>
    <t>26421</t>
  </si>
  <si>
    <t>26422</t>
  </si>
  <si>
    <t>26430</t>
  </si>
  <si>
    <t>26450</t>
  </si>
  <si>
    <t>26451</t>
  </si>
  <si>
    <t>26452</t>
  </si>
  <si>
    <t>26500</t>
  </si>
  <si>
    <t>26510</t>
  </si>
  <si>
    <t>26600</t>
  </si>
  <si>
    <t>26610</t>
  </si>
  <si>
    <t>N п/п</t>
  </si>
  <si>
    <t>Коды строк</t>
  </si>
  <si>
    <t>Год начала закупки</t>
  </si>
  <si>
    <t>Сумма</t>
  </si>
  <si>
    <t>3.2.1. Обоснование (расчет) плановых показателей поступлений доходов по статье 130 "Доходы от оказания услуг, работ, компенсации затрат учреждений"</t>
  </si>
  <si>
    <t>3.4. Обоснование (расчет) плановых показателей поступлений доходов по статье 180 "Прочие доходы"</t>
  </si>
  <si>
    <t>3.7. Обоснование (расчет) плановых показателей по выплатам на страховые взносы по обязательному социальному страхованию</t>
  </si>
  <si>
    <t>&lt;*&gt; Указываются страховые тарифы, дифференцированные по классам профессионального риска, установленные Федеральным законом от 22.12.2005 N 179-ФЗ "О страховых тарифах на обязательное социальное страхование от несчастных случаев на производстве и профессиональных заболеваний на 2006 год".</t>
  </si>
  <si>
    <t>3.9. Обоснование (расчет) плановых показателей по выплатам на социальное обеспечение и иные выплаты населению</t>
  </si>
  <si>
    <t>3.13.1. Обоснование (расчет) плановых показателей по расходам на закупки товаров, работ и услуг</t>
  </si>
  <si>
    <t>на 2023 г.</t>
  </si>
  <si>
    <t>СОГЛАСОВАНО</t>
  </si>
  <si>
    <t>Курирующее подразделение)</t>
  </si>
  <si>
    <t>(подпись)                               (расшифровка подписи)</t>
  </si>
  <si>
    <r>
      <t xml:space="preserve">(уполномоченное лицо                    </t>
    </r>
    <r>
      <rPr>
        <sz val="8"/>
        <rFont val="Times New Roman"/>
        <family val="1"/>
        <charset val="204"/>
      </rPr>
      <t>(должность)            (подпись)         (расшифровка подписи)</t>
    </r>
  </si>
  <si>
    <t xml:space="preserve">учреждения)                       </t>
  </si>
  <si>
    <r>
      <t xml:space="preserve">                            </t>
    </r>
    <r>
      <rPr>
        <sz val="8"/>
        <rFont val="Times New Roman"/>
        <family val="1"/>
        <charset val="204"/>
      </rPr>
      <t xml:space="preserve">    (должность)           (фамилия, инициалы)                 (телефон)</t>
    </r>
  </si>
  <si>
    <t>Исполнитель        _________         ______________                 __________</t>
  </si>
  <si>
    <t>3.1. Обоснование (расчет) плановых показателей поступлений доходов по статье 120 "Доходы от собственности"</t>
  </si>
  <si>
    <t>3.1.1. Обоснование (расчет) плановых показателей поступлений доходов по статье 120 "Доходы от собственности"</t>
  </si>
  <si>
    <t>Задолженность по доходам (дебиторская задолженность по доходам) на начало года</t>
  </si>
  <si>
    <t>Полученные предварительные платежи (авансы) по контрактам (договорам) (кредиторская задолженность по доходам) на начало года</t>
  </si>
  <si>
    <t>Доходы от собственности, всего</t>
  </si>
  <si>
    <t>плата по соглашениям об установлении сервитута</t>
  </si>
  <si>
    <t>доходы в виде процентов по остаткам средств на счетах автономных учреждений в кредитных организациях</t>
  </si>
  <si>
    <t>проценты, полученные от предоставления займов</t>
  </si>
  <si>
    <t>проценты по иным финансовым инструментам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</si>
  <si>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учреждению</t>
  </si>
  <si>
    <t>доходы от распоряжения правами на результаты интеллектуальной деятельности и средствами индивидуализации</t>
  </si>
  <si>
    <t>прочие поступления от использования имущества, находящегося в оперативном управлении учреждения</t>
  </si>
  <si>
    <t>Задолженность по доходам (дебиторская задолженность по доходам) на конец года</t>
  </si>
  <si>
    <t>Полученные предварительные платежи (авансы) по контрактам (договорам) (кредиторская задолженность по доходам) на конец года</t>
  </si>
  <si>
    <t>Планируемые поступления доходов от собственности (с. 0100 - с. 0200 + с. 0300 - с. 0400 + с. 0500)</t>
  </si>
  <si>
    <t>3.1.2. Расчет доходов в виде арендной либо иной платы за передачу в возмездное пользование муниципального имущества</t>
  </si>
  <si>
    <t>Наименован ие объекта</t>
  </si>
  <si>
    <t>Недвижимое имущество, всего</t>
  </si>
  <si>
    <t>в том числе</t>
  </si>
  <si>
    <t>Движимое имущество, всего</t>
  </si>
  <si>
    <t>Итого</t>
  </si>
  <si>
    <t>3.1.3. Расчет доходов в виде процентов по депозитам автономных учреждений в кредитных организациях</t>
  </si>
  <si>
    <t>Договор 1</t>
  </si>
  <si>
    <t>Договор 2</t>
  </si>
  <si>
    <t>Доходы от оказания услуг, работ, компенсации затрат учреждений, всего</t>
  </si>
  <si>
    <t>доходы от оказания услуг, выполнения работ в рамках установленного муниципального задания</t>
  </si>
  <si>
    <t>Планируемые поступления доходов от оказания услуг, компенсации затрат учреждения (с. 0100 - с. 0200 + с. 0300 - с. 0400 + с. 0500)</t>
  </si>
  <si>
    <t>3.2.2. Расчет доходов в виде субсидии на финансовое обеспечение выполнения муниципального задания</t>
  </si>
  <si>
    <t>3.2.3. Расчет доходов от оказания услуг, выполнения работ в рамках установленного муниципального задания</t>
  </si>
  <si>
    <t>3.2.5. Расчет доходов, поступающих в порядке возмещения расходов, понесенных в связи с эксплуатацией</t>
  </si>
  <si>
    <t>имущества, находящегося в оперативном управлении учреждения</t>
  </si>
  <si>
    <t>Вид возмещаемых расходов</t>
  </si>
  <si>
    <t>3.3. Обоснование (расчет) плановых показателей поступлений доходов</t>
  </si>
  <si>
    <t>по статье 140 "Доходы от штрафов, пеней, иных сумм принудительного</t>
  </si>
  <si>
    <t>изъятия"</t>
  </si>
  <si>
    <t>Излишне полученные либо взысканные платежи (кредиторская задолженность по доходам) на начало года</t>
  </si>
  <si>
    <t>Доходы от штрафов, пеней, иных сумм принудительного изъятия, всего</t>
  </si>
  <si>
    <t>в том числе: штрафы</t>
  </si>
  <si>
    <t>пени</t>
  </si>
  <si>
    <t>суммы принудительного изъятия</t>
  </si>
  <si>
    <t>Излишне полученные либо взысканные платежи (кредиторская задолженность по доходам) на конец года</t>
  </si>
  <si>
    <t>Планируемые поступления доходов от штрафов, пеней, иных сумм принудительного изъятия</t>
  </si>
  <si>
    <t>(с. 0100 - с. 0200 + с. 0300 -с. 0400 + с. 0500)</t>
  </si>
  <si>
    <t>Доходы прочие, всего</t>
  </si>
  <si>
    <t>Наименование расходов</t>
  </si>
  <si>
    <t>3.6.2. Расчет фонда оплаты труда</t>
  </si>
  <si>
    <t>Задолженность по обязательствам (кредиторская задолженность) на начало года</t>
  </si>
  <si>
    <t>Сумма излишне уплаченных либо излишне взысканных страховых взносов (дебиторская задолженность) на начало года</t>
  </si>
  <si>
    <t>Страховые взносы на обязательное социальное страхование</t>
  </si>
  <si>
    <t>Задолженность по уплате страховых взносов (кредиторская задолженность) на конец года</t>
  </si>
  <si>
    <t>Сумма излишне уплаченных либо излишне взысканных страховых взносов (дебиторская задолженность) на конец года</t>
  </si>
  <si>
    <t>Планируемые выплаты на страховые взносы на обязательное социальное страхование (с. 0100 - с. 0200 + с. 0300 -с. 0400 + с. 0500)</t>
  </si>
  <si>
    <t>Наименование государственного внебюджетного фонда</t>
  </si>
  <si>
    <t>Страховые взносы в Пенсионный фонд Российской Федерации, всего</t>
  </si>
  <si>
    <t>в том числе: 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</si>
  <si>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</si>
  <si>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</si>
  <si>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</si>
  <si>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в том числе: 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</si>
  <si>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</si>
  <si>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</si>
  <si>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обязательное социальное страхование от несчастных случаев на производстве и профессиональных заболеваний по ставке ____% &lt;*&gt;</t>
  </si>
  <si>
    <t>Страховые взносы в Федеральный фонд обязательного медицинского страхования, всего</t>
  </si>
  <si>
    <t>в том числе: страховые взносы на обязательное медицинское страхование по ставке 5,1%</t>
  </si>
  <si>
    <t>Задолженность по принятым и неисполненным обязательствам, полученные предварительные платежи (авансы) по контрактам (договорам) (кредиторская задолженность) на начало года</t>
  </si>
  <si>
    <t>Произведенные предварительные платежи (авансы) по контрактам (договорам) (дебиторская задолженность) на начало года</t>
  </si>
  <si>
    <t>Расходы на закупку товаров, работ и услуг, всего</t>
  </si>
  <si>
    <t>Задолженность по принятым и неисполненным обязательствам, полученные предварительные платежи (авансы) по контрактам (договорам) (кредиторская задолженность) на конец года</t>
  </si>
  <si>
    <t>Произведенные предварительные платежи (авансы) по контрактам (договорам) (дебиторская задолженность) на конец года</t>
  </si>
  <si>
    <t>Планируемые выплаты на закупку товаров, работ и услуг (с. 0100 - с. 0200 + с. 0300 - с. 0400 + с. 0500)</t>
  </si>
  <si>
    <t>аренда имущества (ст.224)</t>
  </si>
  <si>
    <t>содержание имущества (ст.225)</t>
  </si>
  <si>
    <t>повышение квалификации (профессиональная переподготовка) (ст.226)</t>
  </si>
  <si>
    <t>оплата услуг и работ (медицинских осмотров, информационных услуг, консультационных услуг, экспертных услуг, научно- исследовательских работ, типографских работ), не указанных выше (ст.226)</t>
  </si>
  <si>
    <t>3.13.2. Обоснование (расчет) плановых показателей по расходам на услуги связи (ст.221)</t>
  </si>
  <si>
    <t>3.13.4. Обоснование (расчет) плановых показателей по расходам на коммунальные услуги (КВР244, ст.223)</t>
  </si>
  <si>
    <t>коммунальные услуги (КВР 244, ст.223)</t>
  </si>
  <si>
    <t>коммунальные услуги (КВР 247, ст.223)</t>
  </si>
  <si>
    <t>0311</t>
  </si>
  <si>
    <t>3.13.4.1. Обоснование (расчет) плановых показателей по расходам на коммунальные услуги (КВР247, ст.223)</t>
  </si>
  <si>
    <t xml:space="preserve">Тепловая энергия </t>
  </si>
  <si>
    <t>Горячая вода на теплоноситель</t>
  </si>
  <si>
    <t>на 20201г.</t>
  </si>
  <si>
    <t>Содержание имущества</t>
  </si>
  <si>
    <t>ТО автоман.пожарной, тревожной, охранной сигнализ. и системы оповещения и управления эвакуацией людей при пожаре</t>
  </si>
  <si>
    <t>ТО элементов охранного телевидения</t>
  </si>
  <si>
    <t>Услугу по исследованию состоянию сетей внутрипожарного водопровода</t>
  </si>
  <si>
    <t>Перезарядка огнетушителей</t>
  </si>
  <si>
    <t xml:space="preserve"> Услуги по дератизации и дезинсекция</t>
  </si>
  <si>
    <t>3.13.6. Обоснование (расчет) плановых показателей по расходам на содержание имущества (ст.225)</t>
  </si>
  <si>
    <t>Количество работников, направляемых на повышение квалификации (переподготовку), чел.</t>
  </si>
  <si>
    <t>Цена обучения одного работника, руб.</t>
  </si>
  <si>
    <t>Обучение по охране труда и электробезопасности</t>
  </si>
  <si>
    <t>3.13.5. Обоснование (расчет) плановых показателей по расходам на аренду (ст.224)</t>
  </si>
  <si>
    <t>3.13.7. Обоснование (расчет) плановых показателей по расходам на повышение квалификации (профессиональную переподготовку) (ст.226)</t>
  </si>
  <si>
    <t>3.13.8. Обоснование (расчет) плановых показателей прочим расходам (ст.226)</t>
  </si>
  <si>
    <t>Услуги охраны объекта  здания</t>
  </si>
  <si>
    <t>Услуги охраны</t>
  </si>
  <si>
    <t>Услуги предрейсового и послерейсевого осмотра водителей</t>
  </si>
  <si>
    <t>Услуги предрейсового (послерейсов., предсмен.) медосмотр</t>
  </si>
  <si>
    <t>3.13.9. Обоснование (расчет) плановых показателей по расходам на обязательное страхование (ст.227)</t>
  </si>
  <si>
    <t>3.13.10. Обоснование (расчет) плановых показателей по расходам на приобретение основных средств (ст.310)</t>
  </si>
  <si>
    <t>приобретение материальных запасов (ст.349)</t>
  </si>
  <si>
    <t>3.6. Обоснование (расчет) плановых показателей по выплатам по оплате труда работников учреждения</t>
  </si>
  <si>
    <r>
      <t xml:space="preserve">3.6.1. Обоснование (расчет) плановых показателей по выплатам по элементу вида расходов классификации расходов бюджетов 111 "Фонд оплаты труда учреждений" </t>
    </r>
    <r>
      <rPr>
        <b/>
        <u/>
        <sz val="10"/>
        <rFont val="Times New Roman"/>
        <family val="1"/>
        <charset val="204"/>
      </rPr>
      <t xml:space="preserve">(Субсидия на финансовое обеспечение выполнения муниципального задания) </t>
    </r>
  </si>
  <si>
    <t>3.1.4. Расчет доходов в виде процентов по остаткам средств на счетах автономных учреждений в кредитных организациях</t>
  </si>
  <si>
    <t>3.2. Обоснование (расчет) плановых показателей поступлений доходов по статье 130 "Доходы от оказания услуг, работ, компенсации затрат учреждений"</t>
  </si>
  <si>
    <r>
      <t xml:space="preserve">3.7.1. Обоснование (расчет) плановых показателей по выплатам на страховые взносы по обязательному социальному страхованию </t>
    </r>
    <r>
      <rPr>
        <b/>
        <u/>
        <sz val="10"/>
        <rFont val="Times New Roman"/>
        <family val="1"/>
        <charset val="204"/>
      </rPr>
      <t>(Субсидия на финансовое обеспечение выполнения муниципального задания)</t>
    </r>
  </si>
  <si>
    <r>
      <t xml:space="preserve">3.7.2. Расчет страховых взносов по обязательному социальному страхованию </t>
    </r>
    <r>
      <rPr>
        <b/>
        <u/>
        <sz val="10"/>
        <rFont val="Times New Roman"/>
        <family val="1"/>
        <charset val="204"/>
      </rPr>
      <t>(Субсидия на финансовое обеспечение выполнения муниципального задания)</t>
    </r>
  </si>
  <si>
    <r>
      <t xml:space="preserve">3.8.1. Обоснование (расчет) выплат персоналу при направлении в служебные командировки </t>
    </r>
    <r>
      <rPr>
        <b/>
        <u/>
        <sz val="10"/>
        <rFont val="Times New Roman"/>
        <family val="1"/>
        <charset val="204"/>
      </rPr>
      <t>(Субсидия на финансовое обеспечение выполнения муниципального задания)</t>
    </r>
  </si>
  <si>
    <r>
      <t xml:space="preserve">3.10. Обоснование (расчет) плановых показателей по расходам на уплату налогов, сборов и иных платежей </t>
    </r>
    <r>
      <rPr>
        <b/>
        <u/>
        <sz val="10"/>
        <rFont val="Times New Roman"/>
        <family val="1"/>
        <charset val="204"/>
      </rPr>
      <t>(Субсидия на финансовое обеспечение выполнения муниципального задания)</t>
    </r>
  </si>
  <si>
    <r>
      <t xml:space="preserve">3.8.2 Обоснование (расчет) выплат персоналу по уходу за ребенком </t>
    </r>
    <r>
      <rPr>
        <b/>
        <u/>
        <sz val="10"/>
        <rFont val="Times New Roman"/>
        <family val="1"/>
        <charset val="204"/>
      </rPr>
      <t>(Субсидия на финансовое обеспечение выполнения муниципального задани</t>
    </r>
    <r>
      <rPr>
        <u/>
        <sz val="10"/>
        <rFont val="Times New Roman"/>
        <family val="1"/>
        <charset val="204"/>
      </rPr>
      <t>я)</t>
    </r>
  </si>
  <si>
    <r>
      <t xml:space="preserve">3.7.1. Обоснование (расчет) плановых показателей по выплатам на страховые взносы по обязательному социальному страхованию </t>
    </r>
    <r>
      <rPr>
        <b/>
        <u/>
        <sz val="10"/>
        <rFont val="Times New Roman"/>
        <family val="1"/>
        <charset val="204"/>
      </rPr>
      <t>(Предпринимательская деятельность и иная приносящая доход деятельность)</t>
    </r>
  </si>
  <si>
    <r>
      <t xml:space="preserve">3.8.1. Обоснование (расчет) выплат персоналу при направлении в служебные командировки </t>
    </r>
    <r>
      <rPr>
        <b/>
        <u/>
        <sz val="10"/>
        <rFont val="Times New Roman"/>
        <family val="1"/>
        <charset val="204"/>
      </rPr>
      <t>(Предпринимательская деятельность и иная приносящая доход деятельность)</t>
    </r>
  </si>
  <si>
    <r>
      <t xml:space="preserve">3.10. Обоснование (расчет) плановых показателей по расходам на уплату налогов, сборов и иных платежей </t>
    </r>
    <r>
      <rPr>
        <b/>
        <u/>
        <sz val="10"/>
        <rFont val="Times New Roman"/>
        <family val="1"/>
        <charset val="204"/>
      </rPr>
      <t>(Предпринимательская деятельность и иная приносящая доход деятельность)</t>
    </r>
  </si>
  <si>
    <r>
      <rPr>
        <sz val="10"/>
        <rFont val="Times New Roman"/>
        <family val="1"/>
        <charset val="204"/>
      </rPr>
      <t>3.13. Обоснование (расчет) плановых показателей по расходам на закупки товаров, работ и услуг</t>
    </r>
    <r>
      <rPr>
        <b/>
        <u/>
        <sz val="10"/>
        <rFont val="Times New Roman"/>
        <family val="1"/>
        <charset val="204"/>
      </rPr>
      <t xml:space="preserve"> (Субсидия на финансовое обеспечение выполнения муниципального задания)</t>
    </r>
  </si>
  <si>
    <t>3.13.5. Обоснование (расчет) плановых показателей по расходам на аренду имущества.</t>
  </si>
  <si>
    <r>
      <rPr>
        <sz val="10"/>
        <rFont val="Times New Roman"/>
        <family val="1"/>
        <charset val="204"/>
      </rPr>
      <t>3.13. Обоснование (расчет) плановых показателей по расходам на закупки товаров, работ и услуг</t>
    </r>
    <r>
      <rPr>
        <b/>
        <u/>
        <sz val="10"/>
        <rFont val="Times New Roman"/>
        <family val="1"/>
        <charset val="204"/>
      </rPr>
      <t xml:space="preserve"> (Предпринимательская деятельность и иная приносящая доход деятельность)</t>
    </r>
  </si>
  <si>
    <t>приобретение материальных запасов (ст.340)</t>
  </si>
  <si>
    <t>Телематические услуги связи</t>
  </si>
  <si>
    <t>Услуги абоненского ящика</t>
  </si>
  <si>
    <t>Услуги междугородней и внутризоновой телефонной связи</t>
  </si>
  <si>
    <t>3.13.3. Обоснование (расчет) плановых показателей по расходам на транспортные услуги (ст.222)</t>
  </si>
  <si>
    <t>Оплата проезда приглашенных специалистов(режиссеров,художников)для постановки новых спектаклей</t>
  </si>
  <si>
    <t>3.13.4. Обоснование (расчет) плановых показателей по расходам на коммунальные услуги (КВР 247, ст.223)</t>
  </si>
  <si>
    <t>Чистка аквариума</t>
  </si>
  <si>
    <t>Мойка и шимононтаж транспортных средств</t>
  </si>
  <si>
    <t>Отчисление в РАО</t>
  </si>
  <si>
    <t>Услуги по реализации театральных билетов</t>
  </si>
  <si>
    <t>приобретение лекарственных препаратов и материалов, применяемых в медицинских целях (ст.341)</t>
  </si>
  <si>
    <t>0312</t>
  </si>
  <si>
    <t>0313</t>
  </si>
  <si>
    <t>0314</t>
  </si>
  <si>
    <t>0315</t>
  </si>
  <si>
    <t>0316</t>
  </si>
  <si>
    <t>0317</t>
  </si>
  <si>
    <t>Приобретение ГСМ</t>
  </si>
  <si>
    <t xml:space="preserve">Количество </t>
  </si>
  <si>
    <t>Количество</t>
  </si>
  <si>
    <t>3.13.5. Обоснование (расчет) плановых показателей по расходам на содержание имущества (ст.225)</t>
  </si>
  <si>
    <t>Средняя стоимость, руб.</t>
  </si>
  <si>
    <t>Приобретение комбинезонов, костюмов, курток, брюк, халатов, полушубков, тулупов, различной обуви, рукавиц, очков, шлемов, противогазов, респираторов, других видов специальной одежды</t>
  </si>
  <si>
    <t>03105</t>
  </si>
  <si>
    <t>Приобретение канцтоваров</t>
  </si>
  <si>
    <t>Приобретение баннеров</t>
  </si>
  <si>
    <t>Приобретение картриджей</t>
  </si>
  <si>
    <t>Приобретение электротоваров</t>
  </si>
  <si>
    <t>Приобретение хозтоваров для нужд учреждения</t>
  </si>
  <si>
    <t>по выплатам стимулирующего характера</t>
  </si>
  <si>
    <t>Помощник главного режиссёра</t>
  </si>
  <si>
    <t>Директор</t>
  </si>
  <si>
    <t>Заместитель директора по основной деятельности</t>
  </si>
  <si>
    <t>Главный художник</t>
  </si>
  <si>
    <t>Заведующий художественно-постановочной  частью</t>
  </si>
  <si>
    <t>Руководитель литературно-драматургической части</t>
  </si>
  <si>
    <t>Старший администратор</t>
  </si>
  <si>
    <t>Администратор</t>
  </si>
  <si>
    <t>Заведующий костюмерной</t>
  </si>
  <si>
    <t>Артист (кукловод) театра кукол, ведущий мастер сцены</t>
  </si>
  <si>
    <t>Артист (кукловод) театра кукол второй категории</t>
  </si>
  <si>
    <t>Артист вспомогательного состава театра</t>
  </si>
  <si>
    <t>Художник-модельер театрального костюма</t>
  </si>
  <si>
    <t>Художник-бутафор</t>
  </si>
  <si>
    <t>Художник-декоратор</t>
  </si>
  <si>
    <t>Художник-конструктор</t>
  </si>
  <si>
    <t>Художник-скульптор</t>
  </si>
  <si>
    <t>Художник по свету</t>
  </si>
  <si>
    <t>Звукорежиссёр</t>
  </si>
  <si>
    <t>Монтировщик сцены</t>
  </si>
  <si>
    <t>Машинист сцены</t>
  </si>
  <si>
    <t>Столяр по изготовлению декораций</t>
  </si>
  <si>
    <t>Контрактный управляющий 7 уровня квалификации</t>
  </si>
  <si>
    <t>Специалист по кадрам</t>
  </si>
  <si>
    <t>"Пенсии, пособия, выплачиваемые работодателями, нанимателями бывшим работникам пособия (по сокращению)</t>
  </si>
  <si>
    <t>Средний размер выплаты на одного работника , руб.</t>
  </si>
  <si>
    <t>Размер выплаты (пособия) в месяц, руб</t>
  </si>
  <si>
    <t>Электроэнергии</t>
  </si>
  <si>
    <t xml:space="preserve">3.7.3.1 Пособия, компенсации и иные социальные выплаты гражданам, кроме публичных нормативных обязательств </t>
  </si>
  <si>
    <t>из них: гранты, предоставляемые бюджетным учреждениям</t>
  </si>
  <si>
    <t>гранты, предоставляемые автономным учреждениям</t>
  </si>
  <si>
    <t>гранты, предоставляемые иным некоммкрческим организациям (за исключением бюджетных и автономных учреждений)</t>
  </si>
  <si>
    <t>гранты, предоставляемые другим организациям и физическим лицам</t>
  </si>
  <si>
    <t>1.3.1</t>
  </si>
  <si>
    <t>26310.1</t>
  </si>
  <si>
    <t>1.3.2</t>
  </si>
  <si>
    <t>в том числе:                                                                                         в соответствии с Федеральным законом № 44-ФЗ</t>
  </si>
  <si>
    <t>26421.1</t>
  </si>
  <si>
    <t>26430.1</t>
  </si>
  <si>
    <t>26451.1</t>
  </si>
  <si>
    <t>*(Р2) В случаях, если учреждению предоставляются субсидия на иные цели, субсидия на осуществление капитальных вложений или грант в форме субсидии в соответствии с абзацем первым пункта 4 статьи 78.1 Бюджетного кодекса Российской Федерации в целях достижения  результатов федерального проекта, в том числе входящего в состав соответствующего национального проекта (программы), определенного Указом Президента Российской Федерации от 7 мая 2018 г. № 204 «О национальных целях и стратегических задачах развития Российской Федерации на период до 2024 года» (Собрание законодательства Российской Федерации, 2018, № 20, ст. 2817; № 30, ст. 4717), или регионального проекта, обеспечивающего достижение целей, показателей и результатов федерального проекта (далее – региональный проект), показатели строк 26310, 26421, 26430 и  26451 Раздела 2 «Сведения по выплатам на закупку товаров, работ, услуг» детализируются по коду целевой статьи ( 8-17 разряды кода классификации расходов бюджетов, при этом в рамках реализации регионального проекта в 8-10 разрядах могут указываться нули)</t>
  </si>
  <si>
    <t>безвозмездные денежные поступления, всего</t>
  </si>
  <si>
    <t>1400</t>
  </si>
  <si>
    <t>150</t>
  </si>
  <si>
    <t>Заведующий труппой</t>
  </si>
  <si>
    <t>Заведующий билетными кассами</t>
  </si>
  <si>
    <r>
      <t xml:space="preserve">3.8.2 Обоснование (расчет) выплат персоналу по уходу за ребенком </t>
    </r>
    <r>
      <rPr>
        <b/>
        <u/>
        <sz val="10"/>
        <rFont val="Times New Roman"/>
        <family val="1"/>
        <charset val="204"/>
      </rPr>
      <t/>
    </r>
  </si>
  <si>
    <r>
      <t xml:space="preserve">3.7.2. Расчет страховых взносов по обязательному социальному страхованию </t>
    </r>
    <r>
      <rPr>
        <b/>
        <u/>
        <sz val="10"/>
        <rFont val="Times New Roman"/>
        <family val="1"/>
        <charset val="204"/>
      </rPr>
      <t>(Предпринимательская деятельность и иная приносящая доход деятельность)</t>
    </r>
  </si>
  <si>
    <r>
      <t>3.6.1. Обоснование (расчет) плановых показателей по выплатам по элементу вида расходов классификации расходов бюджетов 111 "Фонд оплаты труда учреждений"</t>
    </r>
    <r>
      <rPr>
        <b/>
        <u/>
        <sz val="10"/>
        <rFont val="Times New Roman"/>
        <family val="1"/>
        <charset val="204"/>
      </rPr>
      <t>(Предпринимательская деятельность и иная приносящая доход деятельность)</t>
    </r>
  </si>
  <si>
    <r>
      <t>3.11. Обоснование (расчет) плановых показателей по расходам на безвозмездное перечисление организациям и физическим лицам (</t>
    </r>
    <r>
      <rPr>
        <b/>
        <u/>
        <sz val="10"/>
        <rFont val="Times New Roman"/>
        <family val="1"/>
        <charset val="204"/>
      </rPr>
      <t>Предпринимательская деятельность и иная приносящая доход деятельност</t>
    </r>
    <r>
      <rPr>
        <sz val="10"/>
        <rFont val="Times New Roman"/>
        <family val="1"/>
        <charset val="204"/>
      </rPr>
      <t>ь)</t>
    </r>
  </si>
  <si>
    <r>
      <t>3.12. Обоснование (расчет) плановых показателей по прочим расходам (кроме расходов на закупку товаров, работ и услуг) (</t>
    </r>
    <r>
      <rPr>
        <b/>
        <u/>
        <sz val="10"/>
        <rFont val="Times New Roman"/>
        <family val="1"/>
        <charset val="204"/>
      </rPr>
      <t>Предпринимательская деятельность и иная приносящая доход деятельность</t>
    </r>
    <r>
      <rPr>
        <sz val="10"/>
        <rFont val="Times New Roman"/>
        <family val="1"/>
        <charset val="204"/>
      </rPr>
      <t>)</t>
    </r>
  </si>
  <si>
    <t>Пени, штрафы</t>
  </si>
  <si>
    <r>
      <rPr>
        <sz val="10"/>
        <rFont val="Times New Roman"/>
        <family val="1"/>
        <charset val="204"/>
      </rPr>
      <t>3.13. Обоснование (расчет) плановых показателей по расходам на закупки товаров, работ и услуг</t>
    </r>
    <r>
      <rPr>
        <b/>
        <u/>
        <sz val="10"/>
        <rFont val="Times New Roman"/>
        <family val="1"/>
        <charset val="204"/>
      </rPr>
      <t xml:space="preserve"> (Субсидия на иные цели)</t>
    </r>
  </si>
  <si>
    <t>Планируемые поступления доходов о токазания услуг, компенсации затрат учреждения (с. 0100 - с. 0200 + с. 0300 - с. 0400 + с. 0500)</t>
  </si>
  <si>
    <t>Социальный отдел Администрации ЗАТО г. Железногорск</t>
  </si>
  <si>
    <t>на 2024 г.</t>
  </si>
  <si>
    <t>Расходы на поддержку творческой деятельности и укрепление материально-технической базы муниципальных театров в населенных пунктах с численностью  населения до 600 тысяч человек</t>
  </si>
  <si>
    <t>Услуги платной автостоянки (ПАЗ и ГАЗ) по адресу: ул.Ленина,75</t>
  </si>
  <si>
    <t>Приобретение корма для рыбок</t>
  </si>
  <si>
    <t>3.13.4. Обоснование (расчет) плановых показателей прочим расходам (ст.226)</t>
  </si>
  <si>
    <t>3.13.5. Обоснование (расчет) плановых показателей по расходам на приобретение основных средств (ст.310)</t>
  </si>
  <si>
    <t>3.13.6. Обоснование (расчет) плановых показателей по расходам на приобретение прочих материальных запасов. (ст.346)</t>
  </si>
  <si>
    <t>Оказание информационных услуг в области телевизионного вещания</t>
  </si>
  <si>
    <t>Услуги по содержанию имущества</t>
  </si>
  <si>
    <t>иные выплаты населению</t>
  </si>
  <si>
    <t>закупку товаров, работ, услуг в целях создания, развития, эксплуатации и вывода из эксплуатации государственных информационных систем</t>
  </si>
  <si>
    <t>Код по бюджетной классификации Российской Федерации (Р2.1)*</t>
  </si>
  <si>
    <t>Уникальный код (Р2.2)*</t>
  </si>
  <si>
    <t>4.1.</t>
  </si>
  <si>
    <t>4.2.</t>
  </si>
  <si>
    <t xml:space="preserve">    из них (Р2.1)*:</t>
  </si>
  <si>
    <t>26310.2</t>
  </si>
  <si>
    <t xml:space="preserve">    из них (Р2.2)*:</t>
  </si>
  <si>
    <t>из них (Р2.1)*:</t>
  </si>
  <si>
    <t>26430.2</t>
  </si>
  <si>
    <t>26451.2</t>
  </si>
  <si>
    <t>ст.211</t>
  </si>
  <si>
    <r>
      <t xml:space="preserve">Социальные пособия и компенсации персоналу в денежной форме </t>
    </r>
    <r>
      <rPr>
        <b/>
        <sz val="10"/>
        <rFont val="Times New Roman"/>
        <family val="1"/>
        <charset val="204"/>
      </rPr>
      <t>(ст.266)</t>
    </r>
  </si>
  <si>
    <t>Оплата проезда приглашенным специалистам, включая оформление документов</t>
  </si>
  <si>
    <t>Услуги по созданию худож.оформления и сценографии спектакля, постановка  и написание музыки к спектаклям</t>
  </si>
  <si>
    <t>3.13.11. Обоснование (расчет) плановых показателей по расходам на приобретения ГСМ (ст.343)</t>
  </si>
  <si>
    <r>
      <t xml:space="preserve">Руководитель учреждения             </t>
    </r>
    <r>
      <rPr>
        <u/>
        <sz val="10"/>
        <rFont val="Times New Roman"/>
        <family val="1"/>
        <charset val="204"/>
      </rPr>
      <t xml:space="preserve">  Директор</t>
    </r>
    <r>
      <rPr>
        <sz val="10"/>
        <rFont val="Times New Roman"/>
        <family val="1"/>
        <charset val="204"/>
      </rPr>
      <t xml:space="preserve">      ____________      </t>
    </r>
    <r>
      <rPr>
        <u/>
        <sz val="10"/>
        <rFont val="Times New Roman"/>
        <family val="1"/>
        <charset val="204"/>
      </rPr>
      <t xml:space="preserve">  Н.Л. Шоф </t>
    </r>
  </si>
  <si>
    <t>"____" ____________ 2022г.</t>
  </si>
  <si>
    <t xml:space="preserve">"____" ______________2022 г.                                     </t>
  </si>
  <si>
    <r>
      <t xml:space="preserve">_______________                 </t>
    </r>
    <r>
      <rPr>
        <u/>
        <sz val="10"/>
        <rFont val="Times New Roman"/>
        <family val="1"/>
        <charset val="204"/>
      </rPr>
      <t>А.А. Кривицкая</t>
    </r>
  </si>
  <si>
    <t>Вознаграждение лауреатам фестиваля "Театральная весна-2022"</t>
  </si>
  <si>
    <t>закупку энергетических ресурсов (ст.223)</t>
  </si>
  <si>
    <t>Уборка территории и служебных помещений</t>
  </si>
  <si>
    <t>3.13.13. Обоснование (расчет) плановых показателей по расходам на приобретение материальных запасов однократного применения (ст.349)</t>
  </si>
  <si>
    <t>3.13.12. Обоснование (расчет) плановых показателей по расходам на приобретение прочих материальных запасов. (ст.346)</t>
  </si>
  <si>
    <t>Приобретение материалов для оформления КММ</t>
  </si>
  <si>
    <t>Приобретение доводчиков на противопожарные двери</t>
  </si>
  <si>
    <t>Приобретение наборов кондитерских изделий (новогодние подарки)</t>
  </si>
  <si>
    <t>специальные расходы</t>
  </si>
  <si>
    <t>на 2025 г.</t>
  </si>
  <si>
    <t xml:space="preserve">Показ (организация показа) спектаклей (театральных постановок) с учётом всех форм, стационар </t>
  </si>
  <si>
    <t>Показ (организация показа) спектаклей (театральных постановок) с учётом всех форм на выезде</t>
  </si>
  <si>
    <r>
      <t xml:space="preserve">3.6.3. Расчет фонда оплаты труда на 2023 г. (текущий финансовый год) </t>
    </r>
    <r>
      <rPr>
        <b/>
        <u/>
        <sz val="10"/>
        <rFont val="Times New Roman"/>
        <family val="1"/>
        <charset val="204"/>
      </rPr>
      <t>(Субсидия на финансовое обеспечение выполнения муниципального задания)</t>
    </r>
  </si>
  <si>
    <r>
      <t xml:space="preserve">3.6.4. Расчет фонда оплаты труда на 2024 г. (первый год финансового плана) </t>
    </r>
    <r>
      <rPr>
        <b/>
        <u/>
        <sz val="10"/>
        <rFont val="Times New Roman"/>
        <family val="1"/>
        <charset val="204"/>
      </rPr>
      <t>(Субсидия на финансовое обеспечение выполнения муниципального задания)</t>
    </r>
  </si>
  <si>
    <r>
      <t>3.6.5. Расчет фонда оплаты труда на 2025 г. (второй год планового периода)</t>
    </r>
    <r>
      <rPr>
        <b/>
        <u/>
        <sz val="10"/>
        <rFont val="Times New Roman"/>
        <family val="1"/>
        <charset val="204"/>
      </rPr>
      <t xml:space="preserve"> (Субсидия на финансовое обеспечение выполнения муниципального задания)</t>
    </r>
  </si>
  <si>
    <r>
      <t>3.6.5. Расчет фонда оплаты труда на 2025 г. (второй год планового периода)</t>
    </r>
    <r>
      <rPr>
        <b/>
        <u/>
        <sz val="10"/>
        <rFont val="Times New Roman"/>
        <family val="1"/>
        <charset val="204"/>
      </rPr>
      <t xml:space="preserve"> (Предпринимательская деятельность и иная приносящая доход деятельность)</t>
    </r>
  </si>
  <si>
    <r>
      <t xml:space="preserve">3.6.4. Расчет фонда оплаты труда на 2024 г. (первый год финансового плана) </t>
    </r>
    <r>
      <rPr>
        <b/>
        <u/>
        <sz val="10"/>
        <rFont val="Times New Roman"/>
        <family val="1"/>
        <charset val="204"/>
      </rPr>
      <t>(Предпринимательская деятельность и иная приносящая доход деятельность)</t>
    </r>
  </si>
  <si>
    <r>
      <t xml:space="preserve">3.6.3. Расчет фонда оплаты труда на 2023 г. (текущий финансовый год) </t>
    </r>
    <r>
      <rPr>
        <b/>
        <u/>
        <sz val="10"/>
        <rFont val="Times New Roman"/>
        <family val="1"/>
        <charset val="204"/>
      </rPr>
      <t>(Предпринимательская деятельность и иная приносящая доход деятельность)</t>
    </r>
  </si>
  <si>
    <t>Негативное воздействие</t>
  </si>
  <si>
    <t>-</t>
  </si>
  <si>
    <t>Огнезащитная обработка деревянных декораций</t>
  </si>
  <si>
    <t>Электрическое испытания защитных средств</t>
  </si>
  <si>
    <t xml:space="preserve">Услуги физической охраны </t>
  </si>
  <si>
    <t>ТО оргтехники, заправка картриджей</t>
  </si>
  <si>
    <t>Ремонт автотранспорта ПАЗ, ГАЗ</t>
  </si>
  <si>
    <t>Технический осмотр ПАЗ, ГАЗ</t>
  </si>
  <si>
    <t>3.13.6. Обоснование (расчет) плановых показателей по расходам на повышение квалификации (профессиональную переподготовку) (ст.226)</t>
  </si>
  <si>
    <t>3.13.7. Обоснование (расчет) плановых показателей по приобретению прочих работ, услуг (ст.226)</t>
  </si>
  <si>
    <t>3.13.8. Обоснование (расчет) плановых показателей по расходам на приобретение основных средств (ст.310)</t>
  </si>
  <si>
    <t>3.13.9. Обоснование (расчет) плановых показателей по расходам на приобретение  лекарственных препаратов и материалов, применяемых в медицинских целях (ст.341)</t>
  </si>
  <si>
    <t>3.13.10. Обоснование (расчет) плановых показателей по расходам на приобретения продуктов  питания (ст.342)</t>
  </si>
  <si>
    <t>3.13.12. Обоснование (расчет) плановых показателей по расходам на приобретение строительных материалов (ст.344)</t>
  </si>
  <si>
    <t>3.13.13. Обоснование (расчет) плановых показателей по расходам на приобретение мягкого инвентаря (ст.345)</t>
  </si>
  <si>
    <t>3.13.14. Обоснование (расчет) плановых показателей по расходам на приобретение прочих материальных запасов. (ст.346)</t>
  </si>
  <si>
    <t>3.13.15. Обоснование (расчет) плановых показателей по расходам на приобретение материальных запасов однократного применения. (ст.349)</t>
  </si>
  <si>
    <t xml:space="preserve">Услуги по физической охране </t>
  </si>
  <si>
    <t>Оказание услуг по выпуску автомобилей (2шт.)</t>
  </si>
  <si>
    <t>Услуги по копирайтингу</t>
  </si>
  <si>
    <t>Услуги фотосъемок, фотосессий</t>
  </si>
  <si>
    <t>Агентские вознаграждения</t>
  </si>
  <si>
    <t>Вознаграждение за право на использование Приозведения на Территории</t>
  </si>
  <si>
    <t xml:space="preserve">Эквайринговые операции </t>
  </si>
  <si>
    <t>Приобретение печатной продукции</t>
  </si>
  <si>
    <t>Оказание информационных и консультационных услуг в области права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</si>
</sst>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#,##0.0"/>
    <numFmt numFmtId="166" formatCode="#,##0.00000"/>
  </numFmts>
  <fonts count="2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00B0F0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6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Dashed">
        <color auto="1"/>
      </right>
      <top/>
      <bottom style="thin">
        <color auto="1"/>
      </bottom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2"/>
  </cellStyleXfs>
  <cellXfs count="352">
    <xf numFmtId="0" fontId="0" fillId="0" borderId="0" xfId="0"/>
    <xf numFmtId="0" fontId="5" fillId="0" borderId="0" xfId="0" applyFont="1"/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left" wrapText="1"/>
    </xf>
    <xf numFmtId="0" fontId="5" fillId="0" borderId="1" xfId="0" applyFont="1" applyBorder="1" applyAlignment="1">
      <alignment vertical="top"/>
    </xf>
    <xf numFmtId="0" fontId="5" fillId="0" borderId="4" xfId="0" applyFont="1" applyBorder="1" applyAlignment="1">
      <alignment horizontal="left" vertical="center" wrapText="1"/>
    </xf>
    <xf numFmtId="4" fontId="6" fillId="0" borderId="3" xfId="0" applyNumberFormat="1" applyFont="1" applyBorder="1" applyAlignment="1">
      <alignment horizontal="center" vertical="center"/>
    </xf>
    <xf numFmtId="4" fontId="6" fillId="0" borderId="0" xfId="0" applyNumberFormat="1" applyFont="1"/>
    <xf numFmtId="4" fontId="6" fillId="0" borderId="3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left" vertical="top" indent="1"/>
    </xf>
    <xf numFmtId="4" fontId="6" fillId="0" borderId="3" xfId="0" applyNumberFormat="1" applyFont="1" applyBorder="1" applyAlignment="1">
      <alignment horizontal="left" vertical="top"/>
    </xf>
    <xf numFmtId="4" fontId="6" fillId="0" borderId="3" xfId="0" applyNumberFormat="1" applyFont="1" applyBorder="1" applyAlignment="1">
      <alignment horizontal="center" vertical="top" wrapText="1"/>
    </xf>
    <xf numFmtId="4" fontId="6" fillId="0" borderId="3" xfId="0" applyNumberFormat="1" applyFont="1" applyBorder="1" applyAlignment="1">
      <alignment horizontal="center" vertical="top"/>
    </xf>
    <xf numFmtId="4" fontId="6" fillId="0" borderId="4" xfId="0" applyNumberFormat="1" applyFont="1" applyBorder="1" applyAlignment="1">
      <alignment horizontal="left" vertical="top" indent="1"/>
    </xf>
    <xf numFmtId="4" fontId="6" fillId="0" borderId="4" xfId="0" applyNumberFormat="1" applyFont="1" applyBorder="1" applyAlignment="1">
      <alignment horizontal="center" vertical="top"/>
    </xf>
    <xf numFmtId="0" fontId="5" fillId="0" borderId="3" xfId="0" applyFont="1" applyBorder="1" applyAlignment="1">
      <alignment horizontal="left" vertical="distributed" wrapText="1"/>
    </xf>
    <xf numFmtId="4" fontId="6" fillId="0" borderId="3" xfId="0" applyNumberFormat="1" applyFont="1" applyBorder="1" applyAlignment="1">
      <alignment horizontal="left" vertical="top" indent="1"/>
    </xf>
    <xf numFmtId="4" fontId="6" fillId="0" borderId="3" xfId="0" applyNumberFormat="1" applyFont="1" applyBorder="1" applyAlignment="1">
      <alignment horizontal="left" vertical="top"/>
    </xf>
    <xf numFmtId="0" fontId="3" fillId="0" borderId="0" xfId="0" applyFont="1"/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top"/>
    </xf>
    <xf numFmtId="0" fontId="5" fillId="0" borderId="2" xfId="0" applyFont="1" applyBorder="1" applyAlignment="1">
      <alignment horizontal="left" vertical="center" wrapText="1"/>
    </xf>
    <xf numFmtId="4" fontId="6" fillId="0" borderId="2" xfId="0" applyNumberFormat="1" applyFont="1" applyBorder="1" applyAlignment="1">
      <alignment vertical="top"/>
    </xf>
    <xf numFmtId="2" fontId="5" fillId="0" borderId="3" xfId="0" applyNumberFormat="1" applyFont="1" applyBorder="1" applyAlignment="1">
      <alignment horizontal="left" vertical="top" wrapText="1"/>
    </xf>
    <xf numFmtId="4" fontId="6" fillId="0" borderId="3" xfId="0" applyNumberFormat="1" applyFont="1" applyBorder="1" applyAlignment="1">
      <alignment horizontal="left" vertical="top" indent="1"/>
    </xf>
    <xf numFmtId="0" fontId="5" fillId="0" borderId="2" xfId="0" applyFont="1" applyBorder="1" applyAlignment="1">
      <alignment horizontal="left" vertical="top" wrapText="1"/>
    </xf>
    <xf numFmtId="4" fontId="7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vertical="distributed"/>
    </xf>
    <xf numFmtId="0" fontId="5" fillId="0" borderId="0" xfId="0" applyFont="1" applyAlignment="1">
      <alignment vertical="distributed"/>
    </xf>
    <xf numFmtId="0" fontId="5" fillId="0" borderId="3" xfId="0" applyFont="1" applyBorder="1" applyAlignment="1">
      <alignment horizontal="center" vertical="distributed"/>
    </xf>
    <xf numFmtId="0" fontId="0" fillId="0" borderId="0" xfId="0" applyAlignment="1">
      <alignment vertical="distributed"/>
    </xf>
    <xf numFmtId="4" fontId="5" fillId="0" borderId="3" xfId="0" applyNumberFormat="1" applyFont="1" applyBorder="1" applyAlignment="1">
      <alignment horizontal="left" vertical="top"/>
    </xf>
    <xf numFmtId="4" fontId="5" fillId="0" borderId="3" xfId="0" applyNumberFormat="1" applyFont="1" applyBorder="1" applyAlignment="1">
      <alignment horizontal="center" vertical="top"/>
    </xf>
    <xf numFmtId="4" fontId="5" fillId="0" borderId="3" xfId="0" applyNumberFormat="1" applyFont="1" applyBorder="1" applyAlignment="1">
      <alignment horizontal="left" vertical="top" wrapText="1"/>
    </xf>
    <xf numFmtId="4" fontId="5" fillId="0" borderId="3" xfId="0" applyNumberFormat="1" applyFont="1" applyBorder="1" applyAlignment="1">
      <alignment horizontal="left" vertical="top" indent="2"/>
    </xf>
    <xf numFmtId="4" fontId="5" fillId="0" borderId="3" xfId="0" applyNumberFormat="1" applyFont="1" applyBorder="1" applyAlignment="1">
      <alignment horizontal="left" vertical="top" indent="4"/>
    </xf>
    <xf numFmtId="4" fontId="6" fillId="2" borderId="0" xfId="0" applyNumberFormat="1" applyFont="1" applyFill="1"/>
    <xf numFmtId="0" fontId="5" fillId="0" borderId="3" xfId="0" applyFont="1" applyBorder="1" applyAlignment="1">
      <alignment horizontal="left" vertical="distributed"/>
    </xf>
    <xf numFmtId="4" fontId="3" fillId="0" borderId="0" xfId="0" applyNumberFormat="1" applyFont="1"/>
    <xf numFmtId="0" fontId="5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left" vertical="top"/>
    </xf>
    <xf numFmtId="0" fontId="5" fillId="0" borderId="1" xfId="0" applyFont="1" applyBorder="1" applyAlignment="1">
      <alignment vertical="top" wrapText="1"/>
    </xf>
    <xf numFmtId="0" fontId="5" fillId="0" borderId="7" xfId="0" applyFont="1" applyBorder="1" applyAlignment="1">
      <alignment horizontal="left" vertical="top" wrapText="1"/>
    </xf>
    <xf numFmtId="4" fontId="5" fillId="0" borderId="3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5" fillId="0" borderId="3" xfId="0" applyFont="1" applyBorder="1" applyAlignment="1">
      <alignment horizontal="left" vertical="top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4" xfId="0" applyFont="1" applyBorder="1" applyAlignment="1">
      <alignment horizontal="left" vertical="top" wrapText="1"/>
    </xf>
    <xf numFmtId="4" fontId="5" fillId="0" borderId="4" xfId="0" applyNumberFormat="1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left" vertical="center"/>
    </xf>
    <xf numFmtId="4" fontId="5" fillId="0" borderId="4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left" vertical="top" wrapText="1"/>
    </xf>
    <xf numFmtId="4" fontId="7" fillId="0" borderId="7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right" vertical="center"/>
    </xf>
    <xf numFmtId="4" fontId="5" fillId="0" borderId="4" xfId="0" applyNumberFormat="1" applyFont="1" applyBorder="1" applyAlignment="1">
      <alignment horizontal="right" vertical="center"/>
    </xf>
    <xf numFmtId="4" fontId="5" fillId="0" borderId="7" xfId="0" applyNumberFormat="1" applyFont="1" applyBorder="1" applyAlignment="1">
      <alignment horizontal="right" vertical="center"/>
    </xf>
    <xf numFmtId="0" fontId="9" fillId="0" borderId="0" xfId="0" applyFont="1"/>
    <xf numFmtId="0" fontId="5" fillId="0" borderId="14" xfId="0" applyFont="1" applyBorder="1" applyAlignment="1">
      <alignment vertical="top"/>
    </xf>
    <xf numFmtId="0" fontId="5" fillId="0" borderId="15" xfId="0" applyFont="1" applyBorder="1"/>
    <xf numFmtId="0" fontId="5" fillId="0" borderId="16" xfId="0" applyFont="1" applyBorder="1"/>
    <xf numFmtId="0" fontId="11" fillId="0" borderId="20" xfId="0" applyFont="1" applyBorder="1" applyAlignment="1">
      <alignment vertical="top"/>
    </xf>
    <xf numFmtId="0" fontId="5" fillId="0" borderId="2" xfId="0" applyFont="1" applyBorder="1"/>
    <xf numFmtId="0" fontId="5" fillId="0" borderId="21" xfId="0" applyFont="1" applyBorder="1"/>
    <xf numFmtId="0" fontId="11" fillId="0" borderId="2" xfId="0" applyFont="1" applyBorder="1"/>
    <xf numFmtId="0" fontId="5" fillId="0" borderId="22" xfId="0" applyFont="1" applyBorder="1" applyAlignment="1">
      <alignment vertical="top"/>
    </xf>
    <xf numFmtId="0" fontId="5" fillId="0" borderId="23" xfId="0" applyFont="1" applyBorder="1"/>
    <xf numFmtId="0" fontId="5" fillId="0" borderId="24" xfId="0" applyFont="1" applyBorder="1"/>
    <xf numFmtId="0" fontId="5" fillId="0" borderId="2" xfId="0" applyFont="1" applyBorder="1" applyAlignment="1">
      <alignment horizontal="left" vertical="top"/>
    </xf>
    <xf numFmtId="4" fontId="5" fillId="0" borderId="0" xfId="0" applyNumberFormat="1" applyFont="1"/>
    <xf numFmtId="4" fontId="5" fillId="0" borderId="3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left" vertical="top" indent="1"/>
    </xf>
    <xf numFmtId="4" fontId="7" fillId="0" borderId="3" xfId="0" applyNumberFormat="1" applyFont="1" applyBorder="1" applyAlignment="1">
      <alignment horizontal="left" vertical="top"/>
    </xf>
    <xf numFmtId="4" fontId="5" fillId="0" borderId="2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left" vertical="top"/>
    </xf>
    <xf numFmtId="4" fontId="5" fillId="0" borderId="3" xfId="0" applyNumberFormat="1" applyFont="1" applyBorder="1" applyAlignment="1">
      <alignment horizontal="justify" vertical="top"/>
    </xf>
    <xf numFmtId="4" fontId="5" fillId="0" borderId="3" xfId="0" applyNumberFormat="1" applyFont="1" applyBorder="1" applyAlignment="1">
      <alignment horizontal="justify" vertical="center"/>
    </xf>
    <xf numFmtId="3" fontId="5" fillId="0" borderId="3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top"/>
    </xf>
    <xf numFmtId="4" fontId="13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" fontId="5" fillId="0" borderId="0" xfId="0" applyNumberFormat="1" applyFont="1" applyFill="1"/>
    <xf numFmtId="0" fontId="9" fillId="0" borderId="0" xfId="0" applyFont="1" applyFill="1"/>
    <xf numFmtId="4" fontId="5" fillId="0" borderId="10" xfId="0" applyNumberFormat="1" applyFont="1" applyFill="1" applyBorder="1" applyAlignment="1">
      <alignment horizontal="left" vertical="top"/>
    </xf>
    <xf numFmtId="4" fontId="5" fillId="0" borderId="2" xfId="0" applyNumberFormat="1" applyFont="1" applyFill="1" applyBorder="1" applyAlignment="1">
      <alignment horizontal="left" vertical="top"/>
    </xf>
    <xf numFmtId="4" fontId="5" fillId="0" borderId="3" xfId="0" applyNumberFormat="1" applyFont="1" applyBorder="1" applyAlignment="1">
      <alignment horizontal="right" vertical="top"/>
    </xf>
    <xf numFmtId="4" fontId="5" fillId="0" borderId="2" xfId="0" applyNumberFormat="1" applyFont="1" applyBorder="1" applyAlignment="1">
      <alignment horizontal="left" vertical="top" indent="1"/>
    </xf>
    <xf numFmtId="4" fontId="5" fillId="0" borderId="2" xfId="0" applyNumberFormat="1" applyFont="1" applyBorder="1" applyAlignment="1">
      <alignment horizontal="center" vertical="top"/>
    </xf>
    <xf numFmtId="4" fontId="5" fillId="0" borderId="2" xfId="0" applyNumberFormat="1" applyFont="1" applyBorder="1"/>
    <xf numFmtId="4" fontId="5" fillId="0" borderId="2" xfId="0" applyNumberFormat="1" applyFont="1" applyBorder="1" applyAlignment="1">
      <alignment vertical="center" wrapText="1"/>
    </xf>
    <xf numFmtId="4" fontId="5" fillId="0" borderId="7" xfId="0" applyNumberFormat="1" applyFont="1" applyFill="1" applyBorder="1" applyAlignment="1">
      <alignment horizontal="right" vertical="center"/>
    </xf>
    <xf numFmtId="4" fontId="5" fillId="0" borderId="3" xfId="0" applyNumberFormat="1" applyFont="1" applyFill="1" applyBorder="1" applyAlignment="1">
      <alignment horizontal="right" vertical="center"/>
    </xf>
    <xf numFmtId="4" fontId="7" fillId="0" borderId="3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center" vertical="top"/>
    </xf>
    <xf numFmtId="1" fontId="5" fillId="0" borderId="3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distributed" wrapText="1"/>
    </xf>
    <xf numFmtId="164" fontId="5" fillId="0" borderId="3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/>
    </xf>
    <xf numFmtId="4" fontId="5" fillId="0" borderId="3" xfId="0" applyNumberFormat="1" applyFont="1" applyBorder="1" applyAlignment="1">
      <alignment horizontal="center" vertical="top"/>
    </xf>
    <xf numFmtId="4" fontId="5" fillId="0" borderId="3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top"/>
    </xf>
    <xf numFmtId="0" fontId="5" fillId="0" borderId="7" xfId="0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vertical="top" wrapText="1"/>
    </xf>
    <xf numFmtId="0" fontId="7" fillId="0" borderId="25" xfId="0" applyFont="1" applyFill="1" applyBorder="1" applyAlignment="1">
      <alignment horizontal="left" vertical="top"/>
    </xf>
    <xf numFmtId="4" fontId="7" fillId="0" borderId="3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left" vertical="center"/>
    </xf>
    <xf numFmtId="4" fontId="7" fillId="0" borderId="3" xfId="0" applyNumberFormat="1" applyFont="1" applyFill="1" applyBorder="1" applyAlignment="1">
      <alignment horizontal="right" vertical="center"/>
    </xf>
    <xf numFmtId="4" fontId="7" fillId="0" borderId="7" xfId="0" applyNumberFormat="1" applyFont="1" applyBorder="1" applyAlignment="1">
      <alignment horizontal="right" vertical="center"/>
    </xf>
    <xf numFmtId="0" fontId="9" fillId="0" borderId="0" xfId="0" applyFont="1" applyAlignment="1">
      <alignment vertical="distributed"/>
    </xf>
    <xf numFmtId="0" fontId="14" fillId="0" borderId="2" xfId="0" applyFont="1" applyBorder="1" applyAlignment="1">
      <alignment horizontal="left" vertical="distributed"/>
    </xf>
    <xf numFmtId="4" fontId="5" fillId="3" borderId="3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distributed"/>
    </xf>
    <xf numFmtId="4" fontId="7" fillId="0" borderId="2" xfId="0" applyNumberFormat="1" applyFont="1" applyBorder="1" applyAlignment="1">
      <alignment horizontal="left" vertical="top"/>
    </xf>
    <xf numFmtId="0" fontId="7" fillId="0" borderId="25" xfId="0" applyFont="1" applyFill="1" applyBorder="1" applyAlignment="1">
      <alignment horizontal="left" vertical="top" wrapText="1"/>
    </xf>
    <xf numFmtId="4" fontId="9" fillId="0" borderId="0" xfId="0" applyNumberFormat="1" applyFont="1"/>
    <xf numFmtId="4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top"/>
    </xf>
    <xf numFmtId="4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top"/>
    </xf>
    <xf numFmtId="4" fontId="5" fillId="0" borderId="3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4" fontId="5" fillId="0" borderId="3" xfId="0" applyNumberFormat="1" applyFont="1" applyBorder="1"/>
    <xf numFmtId="4" fontId="5" fillId="0" borderId="3" xfId="0" applyNumberFormat="1" applyFont="1" applyBorder="1" applyAlignment="1">
      <alignment vertical="top" wrapText="1"/>
    </xf>
    <xf numFmtId="4" fontId="5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top"/>
    </xf>
    <xf numFmtId="4" fontId="5" fillId="0" borderId="3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left" vertical="top" wrapText="1"/>
    </xf>
    <xf numFmtId="4" fontId="5" fillId="0" borderId="2" xfId="0" applyNumberFormat="1" applyFont="1" applyBorder="1" applyAlignment="1">
      <alignment horizontal="center" vertical="top" wrapText="1"/>
    </xf>
    <xf numFmtId="3" fontId="5" fillId="0" borderId="2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top"/>
    </xf>
    <xf numFmtId="4" fontId="5" fillId="0" borderId="3" xfId="0" applyNumberFormat="1" applyFont="1" applyBorder="1" applyAlignment="1">
      <alignment horizontal="right" vertical="center"/>
    </xf>
    <xf numFmtId="4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top"/>
    </xf>
    <xf numFmtId="4" fontId="5" fillId="0" borderId="3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top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4" fontId="5" fillId="0" borderId="3" xfId="0" applyNumberFormat="1" applyFont="1" applyBorder="1" applyAlignment="1">
      <alignment horizontal="right" vertical="center"/>
    </xf>
    <xf numFmtId="0" fontId="14" fillId="0" borderId="2" xfId="0" applyFont="1" applyBorder="1" applyAlignment="1">
      <alignment horizontal="left" vertical="distributed" wrapText="1"/>
    </xf>
    <xf numFmtId="0" fontId="5" fillId="3" borderId="3" xfId="0" applyFont="1" applyFill="1" applyBorder="1" applyAlignment="1">
      <alignment horizontal="left" vertical="top" wrapText="1"/>
    </xf>
    <xf numFmtId="3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top"/>
    </xf>
    <xf numFmtId="0" fontId="5" fillId="3" borderId="3" xfId="0" applyFont="1" applyFill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top"/>
    </xf>
    <xf numFmtId="4" fontId="5" fillId="0" borderId="3" xfId="0" applyNumberFormat="1" applyFont="1" applyBorder="1" applyAlignment="1">
      <alignment horizontal="right" vertical="center"/>
    </xf>
    <xf numFmtId="0" fontId="5" fillId="3" borderId="3" xfId="0" applyFont="1" applyFill="1" applyBorder="1" applyAlignment="1">
      <alignment horizontal="left" vertical="top"/>
    </xf>
    <xf numFmtId="165" fontId="5" fillId="0" borderId="3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top"/>
    </xf>
    <xf numFmtId="4" fontId="7" fillId="0" borderId="2" xfId="0" applyNumberFormat="1" applyFont="1" applyBorder="1" applyAlignment="1">
      <alignment horizontal="right" vertical="center"/>
    </xf>
    <xf numFmtId="4" fontId="4" fillId="0" borderId="0" xfId="0" applyNumberFormat="1" applyFont="1"/>
    <xf numFmtId="4" fontId="5" fillId="0" borderId="3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top"/>
    </xf>
    <xf numFmtId="4" fontId="5" fillId="0" borderId="3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top"/>
    </xf>
    <xf numFmtId="4" fontId="5" fillId="0" borderId="3" xfId="0" applyNumberFormat="1" applyFont="1" applyBorder="1" applyAlignment="1">
      <alignment horizontal="center" vertical="center"/>
    </xf>
    <xf numFmtId="0" fontId="16" fillId="0" borderId="0" xfId="0" applyFont="1" applyAlignment="1">
      <alignment wrapText="1"/>
    </xf>
    <xf numFmtId="0" fontId="5" fillId="0" borderId="3" xfId="0" applyFont="1" applyBorder="1" applyAlignment="1">
      <alignment horizontal="center" vertical="center"/>
    </xf>
    <xf numFmtId="0" fontId="5" fillId="3" borderId="10" xfId="0" applyFont="1" applyFill="1" applyBorder="1" applyAlignment="1">
      <alignment horizontal="center"/>
    </xf>
    <xf numFmtId="4" fontId="5" fillId="3" borderId="10" xfId="0" applyNumberFormat="1" applyFont="1" applyFill="1" applyBorder="1" applyAlignment="1">
      <alignment horizontal="center" vertical="center"/>
    </xf>
    <xf numFmtId="4" fontId="7" fillId="3" borderId="10" xfId="0" applyNumberFormat="1" applyFont="1" applyFill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3" fontId="5" fillId="3" borderId="3" xfId="0" applyNumberFormat="1" applyFont="1" applyFill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top"/>
    </xf>
    <xf numFmtId="0" fontId="5" fillId="0" borderId="2" xfId="0" applyFont="1" applyBorder="1" applyAlignment="1">
      <alignment horizontal="left" vertical="top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top"/>
    </xf>
    <xf numFmtId="4" fontId="5" fillId="0" borderId="3" xfId="0" applyNumberFormat="1" applyFont="1" applyBorder="1" applyAlignment="1">
      <alignment horizontal="right" vertical="center"/>
    </xf>
    <xf numFmtId="4" fontId="5" fillId="0" borderId="3" xfId="0" applyNumberFormat="1" applyFont="1" applyBorder="1" applyAlignment="1">
      <alignment horizontal="center" vertical="center"/>
    </xf>
    <xf numFmtId="166" fontId="5" fillId="0" borderId="3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right" vertical="center"/>
    </xf>
    <xf numFmtId="4" fontId="5" fillId="4" borderId="3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left" vertical="top" wrapText="1"/>
    </xf>
    <xf numFmtId="3" fontId="5" fillId="4" borderId="3" xfId="0" applyNumberFormat="1" applyFont="1" applyFill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3" borderId="3" xfId="1" applyFont="1" applyFill="1" applyBorder="1" applyAlignment="1" applyProtection="1">
      <alignment horizontal="right" vertical="top" wrapText="1"/>
      <protection locked="0"/>
    </xf>
    <xf numFmtId="0" fontId="5" fillId="3" borderId="3" xfId="1" applyFont="1" applyFill="1" applyBorder="1" applyAlignment="1" applyProtection="1">
      <alignment horizontal="right" vertical="top" wrapText="1"/>
      <protection locked="0"/>
    </xf>
    <xf numFmtId="4" fontId="5" fillId="0" borderId="3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right" vertical="center"/>
    </xf>
    <xf numFmtId="4" fontId="5" fillId="0" borderId="3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right" vertical="center"/>
    </xf>
    <xf numFmtId="4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top"/>
    </xf>
    <xf numFmtId="4" fontId="5" fillId="0" borderId="3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right" vertical="center"/>
    </xf>
    <xf numFmtId="4" fontId="7" fillId="3" borderId="2" xfId="0" applyNumberFormat="1" applyFont="1" applyFill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19" fillId="0" borderId="2" xfId="0" applyNumberFormat="1" applyFont="1" applyBorder="1" applyAlignment="1">
      <alignment horizontal="center" vertical="center"/>
    </xf>
    <xf numFmtId="4" fontId="20" fillId="0" borderId="0" xfId="0" applyNumberFormat="1" applyFont="1"/>
    <xf numFmtId="0" fontId="5" fillId="0" borderId="4" xfId="0" applyFont="1" applyBorder="1" applyAlignment="1">
      <alignment horizontal="left" vertical="top" wrapText="1"/>
    </xf>
    <xf numFmtId="4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center" vertical="center"/>
    </xf>
    <xf numFmtId="0" fontId="5" fillId="5" borderId="3" xfId="0" applyFont="1" applyFill="1" applyBorder="1" applyAlignment="1">
      <alignment horizontal="left" vertical="top" wrapText="1"/>
    </xf>
    <xf numFmtId="4" fontId="5" fillId="5" borderId="3" xfId="0" applyNumberFormat="1" applyFont="1" applyFill="1" applyBorder="1" applyAlignment="1">
      <alignment horizontal="center" vertical="center"/>
    </xf>
    <xf numFmtId="3" fontId="5" fillId="5" borderId="3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Border="1"/>
    <xf numFmtId="4" fontId="5" fillId="0" borderId="5" xfId="0" applyNumberFormat="1" applyFont="1" applyBorder="1" applyAlignment="1">
      <alignment horizontal="left" vertical="center"/>
    </xf>
    <xf numFmtId="4" fontId="5" fillId="0" borderId="6" xfId="0" applyNumberFormat="1" applyFont="1" applyBorder="1" applyAlignment="1">
      <alignment horizontal="left" vertical="center"/>
    </xf>
    <xf numFmtId="4" fontId="5" fillId="0" borderId="6" xfId="0" applyNumberFormat="1" applyFont="1" applyBorder="1" applyAlignment="1">
      <alignment vertical="center"/>
    </xf>
    <xf numFmtId="4" fontId="5" fillId="0" borderId="5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top" wrapText="1"/>
    </xf>
    <xf numFmtId="4" fontId="5" fillId="0" borderId="4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4" fontId="7" fillId="0" borderId="3" xfId="0" applyNumberFormat="1" applyFont="1" applyFill="1" applyBorder="1" applyAlignment="1">
      <alignment horizontal="center" vertical="center"/>
    </xf>
    <xf numFmtId="4" fontId="7" fillId="0" borderId="26" xfId="0" applyNumberFormat="1" applyFont="1" applyFill="1" applyBorder="1" applyAlignment="1">
      <alignment horizontal="center" vertical="center"/>
    </xf>
    <xf numFmtId="4" fontId="7" fillId="0" borderId="7" xfId="0" applyNumberFormat="1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" xfId="0" applyFont="1" applyBorder="1" applyAlignment="1">
      <alignment horizontal="left" vertical="top"/>
    </xf>
    <xf numFmtId="0" fontId="5" fillId="0" borderId="20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10" fillId="0" borderId="0" xfId="0" applyFont="1" applyAlignment="1">
      <alignment horizont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4" fontId="15" fillId="0" borderId="11" xfId="0" applyNumberFormat="1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/>
    </xf>
    <xf numFmtId="4" fontId="5" fillId="0" borderId="3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left" vertical="top" wrapText="1"/>
    </xf>
    <xf numFmtId="4" fontId="6" fillId="0" borderId="3" xfId="0" applyNumberFormat="1" applyFont="1" applyBorder="1" applyAlignment="1">
      <alignment horizontal="center" vertical="top" wrapText="1"/>
    </xf>
    <xf numFmtId="4" fontId="6" fillId="0" borderId="3" xfId="0" applyNumberFormat="1" applyFont="1" applyBorder="1" applyAlignment="1">
      <alignment horizontal="left" vertical="top"/>
    </xf>
    <xf numFmtId="4" fontId="6" fillId="0" borderId="3" xfId="0" applyNumberFormat="1" applyFont="1" applyBorder="1" applyAlignment="1">
      <alignment horizontal="center" vertical="top"/>
    </xf>
    <xf numFmtId="0" fontId="5" fillId="0" borderId="3" xfId="0" applyFont="1" applyBorder="1" applyAlignment="1">
      <alignment horizontal="left" vertical="top"/>
    </xf>
    <xf numFmtId="4" fontId="6" fillId="0" borderId="3" xfId="0" applyNumberFormat="1" applyFont="1" applyBorder="1" applyAlignment="1">
      <alignment horizont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5" fillId="3" borderId="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4" fontId="5" fillId="0" borderId="4" xfId="0" applyNumberFormat="1" applyFont="1" applyBorder="1" applyAlignment="1">
      <alignment horizontal="center" vertical="top" wrapText="1"/>
    </xf>
    <xf numFmtId="4" fontId="5" fillId="0" borderId="7" xfId="0" applyNumberFormat="1" applyFont="1" applyBorder="1" applyAlignment="1">
      <alignment horizontal="center" vertical="top" wrapText="1"/>
    </xf>
    <xf numFmtId="4" fontId="5" fillId="0" borderId="5" xfId="0" applyNumberFormat="1" applyFont="1" applyBorder="1" applyAlignment="1">
      <alignment horizontal="center" vertical="top"/>
    </xf>
    <xf numFmtId="4" fontId="5" fillId="0" borderId="8" xfId="0" applyNumberFormat="1" applyFont="1" applyBorder="1" applyAlignment="1">
      <alignment horizontal="center" vertical="top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top"/>
    </xf>
    <xf numFmtId="4" fontId="5" fillId="0" borderId="5" xfId="0" applyNumberFormat="1" applyFont="1" applyBorder="1" applyAlignment="1">
      <alignment horizontal="center" vertical="top" wrapText="1"/>
    </xf>
    <xf numFmtId="4" fontId="5" fillId="0" borderId="6" xfId="0" applyNumberFormat="1" applyFont="1" applyBorder="1" applyAlignment="1">
      <alignment horizontal="center" vertical="top" wrapText="1"/>
    </xf>
    <xf numFmtId="4" fontId="5" fillId="0" borderId="8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distributed"/>
    </xf>
    <xf numFmtId="0" fontId="5" fillId="0" borderId="3" xfId="0" applyFont="1" applyBorder="1" applyAlignment="1">
      <alignment horizontal="center" vertical="distributed" wrapText="1"/>
    </xf>
    <xf numFmtId="0" fontId="5" fillId="3" borderId="10" xfId="0" applyFont="1" applyFill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right" vertical="center"/>
    </xf>
    <xf numFmtId="0" fontId="14" fillId="0" borderId="2" xfId="0" applyFont="1" applyBorder="1" applyAlignment="1">
      <alignment horizontal="left" vertical="distributed" wrapText="1"/>
    </xf>
    <xf numFmtId="0" fontId="5" fillId="0" borderId="2" xfId="0" applyFont="1" applyBorder="1" applyAlignment="1">
      <alignment horizontal="left" vertical="distributed"/>
    </xf>
    <xf numFmtId="0" fontId="5" fillId="0" borderId="0" xfId="0" applyFont="1" applyAlignment="1">
      <alignment horizontal="left" vertical="distributed"/>
    </xf>
    <xf numFmtId="0" fontId="14" fillId="0" borderId="1" xfId="0" applyFont="1" applyBorder="1" applyAlignment="1">
      <alignment horizontal="left" vertical="distributed"/>
    </xf>
    <xf numFmtId="0" fontId="16" fillId="0" borderId="0" xfId="0" applyFont="1" applyAlignment="1">
      <alignment horizontal="left" wrapText="1"/>
    </xf>
  </cellXfs>
  <cellStyles count="2">
    <cellStyle name="Обычный" xfId="0" builtinId="0"/>
    <cellStyle name="Обычный 2 3" xfId="1"/>
  </cellStyles>
  <dxfs count="4"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</dxfs>
  <tableStyles count="0" defaultTableStyle="TableStyleMedium9" defaultPivotStyle="PivotStyleLight16"/>
  <colors>
    <mruColors>
      <color rgb="FFEC86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00"/>
    <pageSetUpPr fitToPage="1"/>
  </sheetPr>
  <dimension ref="A2:P92"/>
  <sheetViews>
    <sheetView view="pageBreakPreview" topLeftCell="A28" zoomScaleSheetLayoutView="100" workbookViewId="0">
      <selection activeCell="H39" sqref="H39"/>
    </sheetView>
  </sheetViews>
  <sheetFormatPr defaultRowHeight="15.75" x14ac:dyDescent="0.25"/>
  <cols>
    <col min="1" max="1" width="36.42578125" style="31" customWidth="1"/>
    <col min="2" max="2" width="8.140625" style="22" customWidth="1"/>
    <col min="3" max="3" width="7" style="22" customWidth="1"/>
    <col min="4" max="4" width="13.85546875" style="22" customWidth="1"/>
    <col min="5" max="5" width="13.42578125" style="22" customWidth="1"/>
    <col min="6" max="6" width="14.28515625" style="22" customWidth="1"/>
    <col min="7" max="7" width="12.7109375" style="22" customWidth="1"/>
    <col min="8" max="8" width="14.140625" style="22" customWidth="1"/>
    <col min="9" max="9" width="13" style="22" customWidth="1"/>
    <col min="10" max="10" width="11.140625" style="22" customWidth="1"/>
    <col min="11" max="11" width="12.7109375" style="22" customWidth="1"/>
    <col min="12" max="12" width="13.28515625" style="22" customWidth="1"/>
    <col min="13" max="13" width="13.140625" style="22" bestFit="1" customWidth="1"/>
    <col min="14" max="14" width="12.5703125" style="22" bestFit="1" customWidth="1"/>
    <col min="15" max="16384" width="9.140625" style="22"/>
  </cols>
  <sheetData>
    <row r="2" spans="1:11" x14ac:dyDescent="0.25">
      <c r="A2" s="276" t="s">
        <v>3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spans="1:11" x14ac:dyDescent="0.25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ht="19.5" customHeight="1" x14ac:dyDescent="0.25">
      <c r="A4" s="278" t="s">
        <v>260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</row>
    <row r="5" spans="1:11" ht="20.25" customHeight="1" x14ac:dyDescent="0.25">
      <c r="A5" s="278" t="s">
        <v>261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</row>
    <row r="6" spans="1:11" x14ac:dyDescent="0.25">
      <c r="A6" s="61"/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1" ht="19.5" customHeight="1" x14ac:dyDescent="0.25">
      <c r="A7" s="278" t="s">
        <v>4</v>
      </c>
      <c r="B7" s="279"/>
      <c r="C7" s="279"/>
      <c r="D7" s="279"/>
      <c r="E7" s="279"/>
      <c r="F7" s="279"/>
      <c r="G7" s="279"/>
      <c r="H7" s="279"/>
      <c r="I7" s="279"/>
      <c r="J7" s="279"/>
      <c r="K7" s="279"/>
    </row>
    <row r="9" spans="1:11" x14ac:dyDescent="0.25">
      <c r="A9" s="280" t="s">
        <v>193</v>
      </c>
      <c r="B9" s="269" t="s">
        <v>72</v>
      </c>
      <c r="C9" s="269" t="s">
        <v>234</v>
      </c>
      <c r="D9" s="283" t="s">
        <v>235</v>
      </c>
      <c r="E9" s="283"/>
      <c r="F9" s="283"/>
      <c r="G9" s="283"/>
      <c r="H9" s="283"/>
      <c r="I9" s="283"/>
      <c r="J9" s="283"/>
      <c r="K9" s="283"/>
    </row>
    <row r="10" spans="1:11" ht="17.25" customHeight="1" x14ac:dyDescent="0.25">
      <c r="A10" s="281"/>
      <c r="B10" s="269"/>
      <c r="C10" s="269"/>
      <c r="D10" s="283" t="s">
        <v>399</v>
      </c>
      <c r="E10" s="283"/>
      <c r="F10" s="283" t="s">
        <v>611</v>
      </c>
      <c r="G10" s="283"/>
      <c r="H10" s="283" t="s">
        <v>650</v>
      </c>
      <c r="I10" s="283"/>
      <c r="J10" s="269" t="s">
        <v>236</v>
      </c>
      <c r="K10" s="269"/>
    </row>
    <row r="11" spans="1:11" ht="21" customHeight="1" x14ac:dyDescent="0.25">
      <c r="A11" s="281"/>
      <c r="B11" s="269"/>
      <c r="C11" s="269"/>
      <c r="D11" s="269" t="s">
        <v>237</v>
      </c>
      <c r="E11" s="269"/>
      <c r="F11" s="269" t="s">
        <v>0</v>
      </c>
      <c r="G11" s="269"/>
      <c r="H11" s="269" t="s">
        <v>238</v>
      </c>
      <c r="I11" s="269"/>
      <c r="J11" s="269"/>
      <c r="K11" s="269"/>
    </row>
    <row r="12" spans="1:11" ht="63.75" customHeight="1" x14ac:dyDescent="0.25">
      <c r="A12" s="282"/>
      <c r="B12" s="269"/>
      <c r="C12" s="269"/>
      <c r="D12" s="119" t="s">
        <v>239</v>
      </c>
      <c r="E12" s="116" t="s">
        <v>240</v>
      </c>
      <c r="F12" s="119" t="s">
        <v>239</v>
      </c>
      <c r="G12" s="116" t="s">
        <v>240</v>
      </c>
      <c r="H12" s="119" t="s">
        <v>239</v>
      </c>
      <c r="I12" s="116" t="s">
        <v>240</v>
      </c>
      <c r="J12" s="119" t="s">
        <v>239</v>
      </c>
      <c r="K12" s="116" t="s">
        <v>240</v>
      </c>
    </row>
    <row r="13" spans="1:11" x14ac:dyDescent="0.25">
      <c r="A13" s="51" t="s">
        <v>190</v>
      </c>
      <c r="B13" s="51" t="s">
        <v>73</v>
      </c>
      <c r="C13" s="51" t="s">
        <v>47</v>
      </c>
      <c r="D13" s="51" t="s">
        <v>48</v>
      </c>
      <c r="E13" s="51" t="s">
        <v>49</v>
      </c>
      <c r="F13" s="51" t="s">
        <v>52</v>
      </c>
      <c r="G13" s="51" t="s">
        <v>53</v>
      </c>
      <c r="H13" s="51" t="s">
        <v>91</v>
      </c>
      <c r="I13" s="51" t="s">
        <v>92</v>
      </c>
      <c r="J13" s="51" t="s">
        <v>93</v>
      </c>
      <c r="K13" s="51" t="s">
        <v>94</v>
      </c>
    </row>
    <row r="14" spans="1:11" ht="29.25" customHeight="1" x14ac:dyDescent="0.25">
      <c r="A14" s="4" t="s">
        <v>241</v>
      </c>
      <c r="B14" s="48" t="s">
        <v>98</v>
      </c>
      <c r="C14" s="48" t="s">
        <v>1</v>
      </c>
      <c r="D14" s="134"/>
      <c r="E14" s="134"/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</row>
    <row r="15" spans="1:11" ht="31.5" customHeight="1" x14ac:dyDescent="0.25">
      <c r="A15" s="63" t="s">
        <v>242</v>
      </c>
      <c r="B15" s="64" t="s">
        <v>99</v>
      </c>
      <c r="C15" s="64" t="s">
        <v>1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</row>
    <row r="16" spans="1:11" x14ac:dyDescent="0.25">
      <c r="A16" s="127" t="s">
        <v>243</v>
      </c>
      <c r="B16" s="128" t="s">
        <v>209</v>
      </c>
      <c r="C16" s="129"/>
      <c r="D16" s="128">
        <f>D22+D30</f>
        <v>22181620.999839999</v>
      </c>
      <c r="E16" s="128">
        <f>E23+E24+E32+E29</f>
        <v>4800000</v>
      </c>
      <c r="F16" s="128">
        <f>F22+F30</f>
        <v>22193071.999839999</v>
      </c>
      <c r="G16" s="128">
        <f t="shared" ref="G16:K16" si="0">G23+G24</f>
        <v>4800000</v>
      </c>
      <c r="H16" s="128">
        <f>H22+H30</f>
        <v>22013469.999839999</v>
      </c>
      <c r="I16" s="128">
        <f t="shared" si="0"/>
        <v>4800000</v>
      </c>
      <c r="J16" s="128">
        <v>0</v>
      </c>
      <c r="K16" s="128">
        <f t="shared" si="0"/>
        <v>0</v>
      </c>
    </row>
    <row r="17" spans="1:11" ht="16.5" customHeight="1" x14ac:dyDescent="0.25">
      <c r="A17" s="47" t="s">
        <v>244</v>
      </c>
      <c r="B17" s="65" t="s">
        <v>210</v>
      </c>
      <c r="C17" s="65" t="s">
        <v>211</v>
      </c>
      <c r="D17" s="65" t="s">
        <v>1</v>
      </c>
      <c r="E17" s="65">
        <v>0</v>
      </c>
      <c r="F17" s="65" t="s">
        <v>1</v>
      </c>
      <c r="G17" s="65">
        <v>0</v>
      </c>
      <c r="H17" s="65" t="s">
        <v>1</v>
      </c>
      <c r="I17" s="65">
        <v>0</v>
      </c>
      <c r="J17" s="65" t="s">
        <v>1</v>
      </c>
      <c r="K17" s="65">
        <v>0</v>
      </c>
    </row>
    <row r="18" spans="1:11" ht="52.5" customHeight="1" x14ac:dyDescent="0.25">
      <c r="A18" s="4" t="s">
        <v>245</v>
      </c>
      <c r="B18" s="48" t="s">
        <v>212</v>
      </c>
      <c r="C18" s="48" t="s">
        <v>211</v>
      </c>
      <c r="D18" s="48" t="s">
        <v>1</v>
      </c>
      <c r="E18" s="48">
        <v>0</v>
      </c>
      <c r="F18" s="48" t="s">
        <v>1</v>
      </c>
      <c r="G18" s="48">
        <v>0</v>
      </c>
      <c r="H18" s="48" t="s">
        <v>1</v>
      </c>
      <c r="I18" s="48">
        <v>0</v>
      </c>
      <c r="J18" s="48" t="s">
        <v>1</v>
      </c>
      <c r="K18" s="48">
        <v>0</v>
      </c>
    </row>
    <row r="19" spans="1:11" ht="38.25" x14ac:dyDescent="0.25">
      <c r="A19" s="4" t="s">
        <v>246</v>
      </c>
      <c r="B19" s="48" t="s">
        <v>213</v>
      </c>
      <c r="C19" s="48" t="s">
        <v>211</v>
      </c>
      <c r="D19" s="48" t="s">
        <v>1</v>
      </c>
      <c r="E19" s="48">
        <v>0</v>
      </c>
      <c r="F19" s="48" t="s">
        <v>1</v>
      </c>
      <c r="G19" s="48">
        <v>0</v>
      </c>
      <c r="H19" s="48" t="s">
        <v>1</v>
      </c>
      <c r="I19" s="48">
        <v>0</v>
      </c>
      <c r="J19" s="48" t="s">
        <v>1</v>
      </c>
      <c r="K19" s="48">
        <v>0</v>
      </c>
    </row>
    <row r="20" spans="1:11" ht="29.25" customHeight="1" x14ac:dyDescent="0.25">
      <c r="A20" s="4" t="s">
        <v>413</v>
      </c>
      <c r="B20" s="48" t="s">
        <v>214</v>
      </c>
      <c r="C20" s="48" t="s">
        <v>211</v>
      </c>
      <c r="D20" s="48" t="s">
        <v>1</v>
      </c>
      <c r="E20" s="48">
        <v>0</v>
      </c>
      <c r="F20" s="48" t="s">
        <v>1</v>
      </c>
      <c r="G20" s="48">
        <v>0</v>
      </c>
      <c r="H20" s="48" t="s">
        <v>1</v>
      </c>
      <c r="I20" s="48">
        <v>0</v>
      </c>
      <c r="J20" s="48" t="s">
        <v>1</v>
      </c>
      <c r="K20" s="48">
        <v>0</v>
      </c>
    </row>
    <row r="21" spans="1:11" ht="30" customHeight="1" x14ac:dyDescent="0.25">
      <c r="A21" s="4" t="s">
        <v>247</v>
      </c>
      <c r="B21" s="48" t="s">
        <v>215</v>
      </c>
      <c r="C21" s="48" t="s">
        <v>216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</row>
    <row r="22" spans="1:11" ht="41.25" customHeight="1" x14ac:dyDescent="0.25">
      <c r="A22" s="4" t="s">
        <v>248</v>
      </c>
      <c r="B22" s="48" t="s">
        <v>217</v>
      </c>
      <c r="C22" s="48" t="s">
        <v>216</v>
      </c>
      <c r="D22" s="48">
        <f>'Раздел 3'!C72</f>
        <v>22181620.999839999</v>
      </c>
      <c r="E22" s="48" t="s">
        <v>1</v>
      </c>
      <c r="F22" s="48">
        <f>'Раздел 3'!D72</f>
        <v>22193071.999839999</v>
      </c>
      <c r="G22" s="48" t="s">
        <v>1</v>
      </c>
      <c r="H22" s="48">
        <f>'Раздел 3'!E72</f>
        <v>22013469.999839999</v>
      </c>
      <c r="I22" s="48" t="s">
        <v>1</v>
      </c>
      <c r="J22" s="48">
        <v>0</v>
      </c>
      <c r="K22" s="48" t="s">
        <v>1</v>
      </c>
    </row>
    <row r="23" spans="1:11" ht="41.25" customHeight="1" x14ac:dyDescent="0.25">
      <c r="A23" s="4" t="s">
        <v>249</v>
      </c>
      <c r="B23" s="48" t="s">
        <v>218</v>
      </c>
      <c r="C23" s="48" t="s">
        <v>216</v>
      </c>
      <c r="D23" s="48" t="s">
        <v>1</v>
      </c>
      <c r="E23" s="48">
        <f>'Раздел 3'!C73</f>
        <v>4800000</v>
      </c>
      <c r="F23" s="48" t="s">
        <v>1</v>
      </c>
      <c r="G23" s="48">
        <f>'Раздел 3'!D73</f>
        <v>4800000</v>
      </c>
      <c r="H23" s="48" t="s">
        <v>1</v>
      </c>
      <c r="I23" s="48">
        <f>'Раздел 3'!E73</f>
        <v>4800000</v>
      </c>
      <c r="J23" s="48" t="s">
        <v>1</v>
      </c>
      <c r="K23" s="48">
        <v>0</v>
      </c>
    </row>
    <row r="24" spans="1:11" ht="56.25" customHeight="1" x14ac:dyDescent="0.25">
      <c r="A24" s="288" t="s">
        <v>208</v>
      </c>
      <c r="B24" s="270" t="s">
        <v>219</v>
      </c>
      <c r="C24" s="270" t="s">
        <v>216</v>
      </c>
      <c r="D24" s="270" t="s">
        <v>1</v>
      </c>
      <c r="E24" s="270">
        <v>0</v>
      </c>
      <c r="F24" s="270" t="s">
        <v>1</v>
      </c>
      <c r="G24" s="270">
        <v>0</v>
      </c>
      <c r="H24" s="270" t="s">
        <v>1</v>
      </c>
      <c r="I24" s="270">
        <v>0</v>
      </c>
      <c r="J24" s="270" t="s">
        <v>1</v>
      </c>
      <c r="K24" s="270">
        <v>0</v>
      </c>
    </row>
    <row r="25" spans="1:11" ht="12.75" customHeight="1" x14ac:dyDescent="0.25">
      <c r="A25" s="289"/>
      <c r="B25" s="287"/>
      <c r="C25" s="287"/>
      <c r="D25" s="287"/>
      <c r="E25" s="287"/>
      <c r="F25" s="287"/>
      <c r="G25" s="287"/>
      <c r="H25" s="287"/>
      <c r="I25" s="287"/>
      <c r="J25" s="287"/>
      <c r="K25" s="287"/>
    </row>
    <row r="26" spans="1:11" ht="51" x14ac:dyDescent="0.25">
      <c r="A26" s="4" t="s">
        <v>250</v>
      </c>
      <c r="B26" s="48" t="s">
        <v>220</v>
      </c>
      <c r="C26" s="48" t="s">
        <v>216</v>
      </c>
      <c r="D26" s="48" t="s">
        <v>1</v>
      </c>
      <c r="E26" s="48">
        <v>0</v>
      </c>
      <c r="F26" s="48" t="s">
        <v>1</v>
      </c>
      <c r="G26" s="48">
        <v>0</v>
      </c>
      <c r="H26" s="48" t="s">
        <v>1</v>
      </c>
      <c r="I26" s="48">
        <v>0</v>
      </c>
      <c r="J26" s="48" t="s">
        <v>1</v>
      </c>
      <c r="K26" s="48">
        <v>0</v>
      </c>
    </row>
    <row r="27" spans="1:11" ht="25.5" x14ac:dyDescent="0.25">
      <c r="A27" s="4" t="s">
        <v>251</v>
      </c>
      <c r="B27" s="48" t="s">
        <v>221</v>
      </c>
      <c r="C27" s="48" t="s">
        <v>222</v>
      </c>
      <c r="D27" s="48" t="s">
        <v>1</v>
      </c>
      <c r="E27" s="48">
        <v>0</v>
      </c>
      <c r="F27" s="48" t="s">
        <v>1</v>
      </c>
      <c r="G27" s="48">
        <v>0</v>
      </c>
      <c r="H27" s="48" t="s">
        <v>1</v>
      </c>
      <c r="I27" s="48">
        <v>0</v>
      </c>
      <c r="J27" s="48" t="s">
        <v>1</v>
      </c>
      <c r="K27" s="48">
        <v>0</v>
      </c>
    </row>
    <row r="28" spans="1:11" x14ac:dyDescent="0.25">
      <c r="A28" s="45" t="s">
        <v>109</v>
      </c>
      <c r="B28" s="48" t="s">
        <v>223</v>
      </c>
      <c r="C28" s="48" t="s">
        <v>222</v>
      </c>
      <c r="D28" s="164" t="s">
        <v>1</v>
      </c>
      <c r="E28" s="48">
        <v>0</v>
      </c>
      <c r="F28" s="164" t="s">
        <v>1</v>
      </c>
      <c r="G28" s="48">
        <v>0</v>
      </c>
      <c r="H28" s="164" t="s">
        <v>1</v>
      </c>
      <c r="I28" s="48">
        <v>0</v>
      </c>
      <c r="J28" s="48">
        <v>0</v>
      </c>
      <c r="K28" s="48">
        <v>0</v>
      </c>
    </row>
    <row r="29" spans="1:11" ht="25.5" x14ac:dyDescent="0.25">
      <c r="A29" s="4" t="s">
        <v>597</v>
      </c>
      <c r="B29" s="167" t="s">
        <v>598</v>
      </c>
      <c r="C29" s="167" t="s">
        <v>599</v>
      </c>
      <c r="D29" s="164" t="s">
        <v>1</v>
      </c>
      <c r="E29" s="164">
        <v>0</v>
      </c>
      <c r="F29" s="164" t="s">
        <v>1</v>
      </c>
      <c r="G29" s="164">
        <v>0</v>
      </c>
      <c r="H29" s="164" t="s">
        <v>1</v>
      </c>
      <c r="I29" s="164">
        <v>0</v>
      </c>
      <c r="J29" s="164" t="s">
        <v>1</v>
      </c>
      <c r="K29" s="164">
        <v>0</v>
      </c>
    </row>
    <row r="30" spans="1:11" ht="15.75" customHeight="1" x14ac:dyDescent="0.25">
      <c r="A30" s="190" t="s">
        <v>253</v>
      </c>
      <c r="B30" s="161">
        <v>1410</v>
      </c>
      <c r="C30" s="161">
        <v>150</v>
      </c>
      <c r="D30" s="48">
        <f>'Раздел 3'!C147</f>
        <v>0</v>
      </c>
      <c r="E30" s="48">
        <v>0</v>
      </c>
      <c r="F30" s="48">
        <f>'Раздел 3'!D147</f>
        <v>0</v>
      </c>
      <c r="G30" s="48">
        <v>0</v>
      </c>
      <c r="H30" s="48">
        <f>'Раздел 3'!E147</f>
        <v>0</v>
      </c>
      <c r="I30" s="48">
        <v>0</v>
      </c>
      <c r="J30" s="48" t="s">
        <v>1</v>
      </c>
      <c r="K30" s="48">
        <v>0</v>
      </c>
    </row>
    <row r="31" spans="1:11" ht="25.5" x14ac:dyDescent="0.25">
      <c r="A31" s="177" t="s">
        <v>254</v>
      </c>
      <c r="B31" s="161">
        <v>1420</v>
      </c>
      <c r="C31" s="161">
        <v>150</v>
      </c>
      <c r="D31" s="48">
        <v>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</row>
    <row r="32" spans="1:11" x14ac:dyDescent="0.25">
      <c r="A32" s="177" t="s">
        <v>252</v>
      </c>
      <c r="B32" s="161" t="s">
        <v>224</v>
      </c>
      <c r="C32" s="161" t="s">
        <v>225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</row>
    <row r="33" spans="1:16" x14ac:dyDescent="0.25">
      <c r="A33" s="177" t="s">
        <v>109</v>
      </c>
      <c r="B33" s="161"/>
      <c r="C33" s="161"/>
      <c r="D33" s="48">
        <v>0</v>
      </c>
      <c r="E33" s="48" t="s">
        <v>1</v>
      </c>
      <c r="F33" s="48">
        <v>0</v>
      </c>
      <c r="G33" s="48" t="s">
        <v>1</v>
      </c>
      <c r="H33" s="48">
        <v>0</v>
      </c>
      <c r="I33" s="48" t="s">
        <v>1</v>
      </c>
      <c r="J33" s="48">
        <v>0</v>
      </c>
      <c r="K33" s="48" t="s">
        <v>1</v>
      </c>
    </row>
    <row r="34" spans="1:16" ht="18" customHeight="1" x14ac:dyDescent="0.25">
      <c r="A34" s="4" t="s">
        <v>255</v>
      </c>
      <c r="B34" s="48" t="s">
        <v>226</v>
      </c>
      <c r="C34" s="66"/>
      <c r="D34" s="48">
        <v>0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</row>
    <row r="35" spans="1:16" x14ac:dyDescent="0.25">
      <c r="A35" s="45" t="s">
        <v>109</v>
      </c>
      <c r="B35" s="66"/>
      <c r="C35" s="66"/>
      <c r="D35" s="48">
        <v>0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</row>
    <row r="36" spans="1:16" x14ac:dyDescent="0.25">
      <c r="A36" s="4" t="s">
        <v>256</v>
      </c>
      <c r="B36" s="48" t="s">
        <v>227</v>
      </c>
      <c r="C36" s="48" t="s">
        <v>1</v>
      </c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</row>
    <row r="37" spans="1:16" ht="39.75" customHeight="1" x14ac:dyDescent="0.25">
      <c r="A37" s="63" t="s">
        <v>257</v>
      </c>
      <c r="B37" s="64" t="s">
        <v>228</v>
      </c>
      <c r="C37" s="64" t="s">
        <v>229</v>
      </c>
      <c r="D37" s="64">
        <v>0</v>
      </c>
      <c r="E37" s="64">
        <v>0</v>
      </c>
      <c r="F37" s="64">
        <v>0</v>
      </c>
      <c r="G37" s="64">
        <v>0</v>
      </c>
      <c r="H37" s="64">
        <v>0</v>
      </c>
      <c r="I37" s="64">
        <v>0</v>
      </c>
      <c r="J37" s="270" t="s">
        <v>1</v>
      </c>
      <c r="K37" s="270"/>
      <c r="L37" s="194"/>
      <c r="M37" s="194"/>
      <c r="N37" s="194"/>
      <c r="O37" s="62"/>
      <c r="P37" s="62"/>
    </row>
    <row r="38" spans="1:16" x14ac:dyDescent="0.25">
      <c r="A38" s="127" t="s">
        <v>258</v>
      </c>
      <c r="B38" s="128" t="s">
        <v>230</v>
      </c>
      <c r="C38" s="128" t="s">
        <v>1</v>
      </c>
      <c r="D38" s="130">
        <f>D39+D49+D62</f>
        <v>22181620.999512773</v>
      </c>
      <c r="E38" s="130">
        <f>E39+E49+E58+E62+E47-0.01</f>
        <v>4799999.9960818999</v>
      </c>
      <c r="F38" s="130">
        <f>F39+F49+F62</f>
        <v>22193071.999512773</v>
      </c>
      <c r="G38" s="130">
        <f>G39+G49+G58+G62-0.01</f>
        <v>4799999.9960818999</v>
      </c>
      <c r="H38" s="130">
        <f>H39+H49+H62</f>
        <v>22013469.999512773</v>
      </c>
      <c r="I38" s="130">
        <f>I39+I49+I58+I62-0.01</f>
        <v>4799999.9960818999</v>
      </c>
      <c r="J38" s="284"/>
      <c r="K38" s="285"/>
      <c r="L38" s="194">
        <f>D16+D14</f>
        <v>22181620.999839999</v>
      </c>
      <c r="M38" s="194">
        <f>F16</f>
        <v>22193071.999839999</v>
      </c>
      <c r="N38" s="194">
        <f>H16</f>
        <v>22013469.999839999</v>
      </c>
      <c r="O38" s="194"/>
    </row>
    <row r="39" spans="1:16" x14ac:dyDescent="0.25">
      <c r="A39" s="68" t="s">
        <v>259</v>
      </c>
      <c r="B39" s="69" t="s">
        <v>231</v>
      </c>
      <c r="C39" s="69" t="s">
        <v>1</v>
      </c>
      <c r="D39" s="131">
        <f>SUM(D41:D44)</f>
        <v>14669585.000542773</v>
      </c>
      <c r="E39" s="131">
        <f>E41+E42+E44+0.01</f>
        <v>1922800.0047218995</v>
      </c>
      <c r="F39" s="131">
        <f>F41+F42+F44</f>
        <v>14669585.000542773</v>
      </c>
      <c r="G39" s="131">
        <f>G41+G42+G44+0.01</f>
        <v>1922800.0047218995</v>
      </c>
      <c r="H39" s="131">
        <f>H41+H42+H44</f>
        <v>14669585.000542773</v>
      </c>
      <c r="I39" s="131">
        <f>I41+I42+I44+0.01</f>
        <v>1922800.0047218995</v>
      </c>
      <c r="J39" s="286" t="s">
        <v>1</v>
      </c>
      <c r="K39" s="286"/>
      <c r="L39" s="194">
        <f>L38-D38</f>
        <v>3.2722577452659607E-4</v>
      </c>
      <c r="M39" s="194">
        <f>M38-F38</f>
        <v>3.2722577452659607E-4</v>
      </c>
      <c r="N39" s="194">
        <f>N38-H38</f>
        <v>3.2722577452659607E-4</v>
      </c>
      <c r="O39" s="194"/>
    </row>
    <row r="40" spans="1:16" x14ac:dyDescent="0.25">
      <c r="A40" s="45" t="s">
        <v>109</v>
      </c>
      <c r="B40" s="66"/>
      <c r="C40" s="66"/>
      <c r="D40" s="48"/>
      <c r="E40" s="48"/>
      <c r="F40" s="48"/>
      <c r="G40" s="48"/>
      <c r="H40" s="48"/>
      <c r="I40" s="48"/>
      <c r="J40" s="275" t="s">
        <v>1</v>
      </c>
      <c r="K40" s="275"/>
      <c r="L40" s="194"/>
      <c r="M40" s="194"/>
      <c r="N40" s="194"/>
      <c r="O40" s="194"/>
    </row>
    <row r="41" spans="1:16" x14ac:dyDescent="0.25">
      <c r="A41" s="45" t="s">
        <v>262</v>
      </c>
      <c r="B41" s="48" t="s">
        <v>263</v>
      </c>
      <c r="C41" s="48" t="s">
        <v>264</v>
      </c>
      <c r="D41" s="70">
        <f>'3.6(211+213+850)(4)'!C14</f>
        <v>11266961.99734468</v>
      </c>
      <c r="E41" s="70">
        <f>'3.6(211+213+850)(2)'!C11</f>
        <v>1399999.9959461594</v>
      </c>
      <c r="F41" s="70">
        <f>'3.6(211+213+850)(4)'!D11</f>
        <v>11266961.99734468</v>
      </c>
      <c r="G41" s="70">
        <f>'3.6(211+213+850)(2)'!D11</f>
        <v>1399999.9959461594</v>
      </c>
      <c r="H41" s="70">
        <f>'3.6(211+213+850)(4)'!E11</f>
        <v>11266961.99734468</v>
      </c>
      <c r="I41" s="70">
        <f>'3.6(211+213+850)(2)'!E11</f>
        <v>1399999.9959461594</v>
      </c>
      <c r="J41" s="275" t="s">
        <v>1</v>
      </c>
      <c r="K41" s="275"/>
    </row>
    <row r="42" spans="1:16" ht="25.5" x14ac:dyDescent="0.25">
      <c r="A42" s="4" t="s">
        <v>265</v>
      </c>
      <c r="B42" s="48" t="s">
        <v>266</v>
      </c>
      <c r="C42" s="48" t="s">
        <v>267</v>
      </c>
      <c r="D42" s="70">
        <f>'3.6(211+213+850)(4)'!L187+'3.6(211+213+850)(4)'!L196</f>
        <v>0</v>
      </c>
      <c r="E42" s="70">
        <f>'3.6(211+213+850)(2)'!L182</f>
        <v>100000</v>
      </c>
      <c r="F42" s="70">
        <f>'3.6(211+213+850)(4)'!M187+'3.6(211+213+850)(4)'!M196</f>
        <v>0</v>
      </c>
      <c r="G42" s="70">
        <f>'3.6(211+213+850)(2)'!M182</f>
        <v>100000</v>
      </c>
      <c r="H42" s="70">
        <f>'3.6(211+213+850)(4)'!N187+'3.6(211+213+850)(4)'!N196</f>
        <v>0</v>
      </c>
      <c r="I42" s="70">
        <f>'3.6(211+213+850)(2)'!N182</f>
        <v>100000</v>
      </c>
      <c r="J42" s="275" t="s">
        <v>1</v>
      </c>
      <c r="K42" s="275"/>
      <c r="L42" s="43">
        <f>E16+E14</f>
        <v>4800000</v>
      </c>
      <c r="M42" s="43">
        <f>L42-G38</f>
        <v>3.9181001484394073E-3</v>
      </c>
    </row>
    <row r="43" spans="1:16" ht="30" customHeight="1" x14ac:dyDescent="0.25">
      <c r="A43" s="4" t="s">
        <v>268</v>
      </c>
      <c r="B43" s="48" t="s">
        <v>269</v>
      </c>
      <c r="C43" s="48" t="s">
        <v>270</v>
      </c>
      <c r="D43" s="70">
        <v>0</v>
      </c>
      <c r="E43" s="70">
        <f>0</f>
        <v>0</v>
      </c>
      <c r="F43" s="70">
        <v>0</v>
      </c>
      <c r="G43" s="70">
        <f>0</f>
        <v>0</v>
      </c>
      <c r="H43" s="70">
        <v>0</v>
      </c>
      <c r="I43" s="70">
        <f>0</f>
        <v>0</v>
      </c>
      <c r="J43" s="275" t="s">
        <v>1</v>
      </c>
      <c r="K43" s="275"/>
      <c r="L43" s="43">
        <f>L42-E38</f>
        <v>3.9181001484394073E-3</v>
      </c>
    </row>
    <row r="44" spans="1:16" ht="54.75" customHeight="1" x14ac:dyDescent="0.25">
      <c r="A44" s="4" t="s">
        <v>271</v>
      </c>
      <c r="B44" s="48" t="s">
        <v>272</v>
      </c>
      <c r="C44" s="48" t="s">
        <v>273</v>
      </c>
      <c r="D44" s="70">
        <f>D45+D46</f>
        <v>3402623.0031980933</v>
      </c>
      <c r="E44" s="70">
        <f>E45+E46</f>
        <v>422799.99877574015</v>
      </c>
      <c r="F44" s="70">
        <f>F45</f>
        <v>3402623.0031980933</v>
      </c>
      <c r="G44" s="70">
        <f t="shared" ref="G44:I44" si="1">G45+G46</f>
        <v>422799.99877574015</v>
      </c>
      <c r="H44" s="70">
        <f>H45</f>
        <v>3402623.0031980933</v>
      </c>
      <c r="I44" s="70">
        <f t="shared" si="1"/>
        <v>422799.99877574015</v>
      </c>
      <c r="J44" s="275" t="s">
        <v>1</v>
      </c>
      <c r="K44" s="275"/>
    </row>
    <row r="45" spans="1:16" x14ac:dyDescent="0.25">
      <c r="A45" s="4" t="s">
        <v>274</v>
      </c>
      <c r="B45" s="48" t="s">
        <v>275</v>
      </c>
      <c r="C45" s="48" t="s">
        <v>273</v>
      </c>
      <c r="D45" s="70">
        <f>'3.6(211+213+850)(4)'!C148</f>
        <v>3402623.0031980933</v>
      </c>
      <c r="E45" s="70">
        <f>'3.6(211+213+850)(2)'!C142</f>
        <v>422799.99877574015</v>
      </c>
      <c r="F45" s="70">
        <f>'3.6(211+213+850)(4)'!D148</f>
        <v>3402623.0031980933</v>
      </c>
      <c r="G45" s="70">
        <f>'3.6(211+213+850)(2)'!D142</f>
        <v>422799.99877574015</v>
      </c>
      <c r="H45" s="70">
        <f>'3.6(211+213+850)(4)'!E148</f>
        <v>3402623.0031980933</v>
      </c>
      <c r="I45" s="70">
        <f>'3.6(211+213+850)(2)'!E142</f>
        <v>422799.99877574015</v>
      </c>
      <c r="J45" s="275" t="s">
        <v>1</v>
      </c>
      <c r="K45" s="275"/>
    </row>
    <row r="46" spans="1:16" x14ac:dyDescent="0.25">
      <c r="A46" s="4" t="s">
        <v>276</v>
      </c>
      <c r="B46" s="48" t="s">
        <v>277</v>
      </c>
      <c r="C46" s="48" t="s">
        <v>273</v>
      </c>
      <c r="D46" s="70">
        <v>0</v>
      </c>
      <c r="E46" s="70">
        <f>0</f>
        <v>0</v>
      </c>
      <c r="F46" s="70">
        <f>0</f>
        <v>0</v>
      </c>
      <c r="G46" s="70">
        <f>0</f>
        <v>0</v>
      </c>
      <c r="H46" s="70">
        <f>0</f>
        <v>0</v>
      </c>
      <c r="I46" s="70">
        <f>0</f>
        <v>0</v>
      </c>
      <c r="J46" s="275" t="s">
        <v>1</v>
      </c>
      <c r="K46" s="275"/>
    </row>
    <row r="47" spans="1:16" ht="25.5" x14ac:dyDescent="0.25">
      <c r="A47" s="4" t="s">
        <v>278</v>
      </c>
      <c r="B47" s="48" t="s">
        <v>279</v>
      </c>
      <c r="C47" s="48" t="s">
        <v>280</v>
      </c>
      <c r="D47" s="70">
        <v>0</v>
      </c>
      <c r="E47" s="70">
        <f>'3.6(211+213+850)(2)'!I228</f>
        <v>0</v>
      </c>
      <c r="F47" s="70">
        <v>0</v>
      </c>
      <c r="G47" s="70">
        <v>0</v>
      </c>
      <c r="H47" s="70">
        <v>0</v>
      </c>
      <c r="I47" s="70">
        <v>0</v>
      </c>
      <c r="J47" s="275" t="s">
        <v>1</v>
      </c>
      <c r="K47" s="275"/>
    </row>
    <row r="48" spans="1:16" x14ac:dyDescent="0.25">
      <c r="A48" s="4" t="s">
        <v>620</v>
      </c>
      <c r="B48" s="93">
        <v>2240</v>
      </c>
      <c r="C48" s="93">
        <v>360</v>
      </c>
      <c r="D48" s="218">
        <v>0</v>
      </c>
      <c r="E48" s="218">
        <v>0</v>
      </c>
      <c r="F48" s="218">
        <v>0</v>
      </c>
      <c r="G48" s="218">
        <v>0</v>
      </c>
      <c r="H48" s="218">
        <v>0</v>
      </c>
      <c r="I48" s="218">
        <v>0</v>
      </c>
      <c r="J48" s="273"/>
      <c r="K48" s="274"/>
    </row>
    <row r="49" spans="1:13" ht="25.5" x14ac:dyDescent="0.25">
      <c r="A49" s="4" t="s">
        <v>281</v>
      </c>
      <c r="B49" s="48" t="s">
        <v>282</v>
      </c>
      <c r="C49" s="48" t="s">
        <v>283</v>
      </c>
      <c r="D49" s="70">
        <f>D50+D51+D52</f>
        <v>0</v>
      </c>
      <c r="E49" s="70">
        <f>E50+E51+E52</f>
        <v>5000</v>
      </c>
      <c r="F49" s="70">
        <v>0</v>
      </c>
      <c r="G49" s="70">
        <f>G51</f>
        <v>5000</v>
      </c>
      <c r="H49" s="70">
        <v>0</v>
      </c>
      <c r="I49" s="70">
        <f>I51</f>
        <v>5000</v>
      </c>
      <c r="J49" s="275" t="s">
        <v>1</v>
      </c>
      <c r="K49" s="275"/>
    </row>
    <row r="50" spans="1:13" ht="25.5" x14ac:dyDescent="0.25">
      <c r="A50" s="4" t="s">
        <v>284</v>
      </c>
      <c r="B50" s="48" t="s">
        <v>285</v>
      </c>
      <c r="C50" s="48" t="s">
        <v>286</v>
      </c>
      <c r="D50" s="70">
        <v>0</v>
      </c>
      <c r="E50" s="70">
        <v>0</v>
      </c>
      <c r="F50" s="70">
        <v>0</v>
      </c>
      <c r="G50" s="70">
        <v>0</v>
      </c>
      <c r="H50" s="70">
        <v>0</v>
      </c>
      <c r="I50" s="70">
        <v>0</v>
      </c>
      <c r="J50" s="275" t="s">
        <v>1</v>
      </c>
      <c r="K50" s="275"/>
    </row>
    <row r="51" spans="1:13" ht="52.5" customHeight="1" x14ac:dyDescent="0.25">
      <c r="A51" s="4" t="s">
        <v>287</v>
      </c>
      <c r="B51" s="48" t="s">
        <v>288</v>
      </c>
      <c r="C51" s="48" t="s">
        <v>289</v>
      </c>
      <c r="D51" s="70">
        <f>'3.6(211+213+850)(4)'!I216</f>
        <v>0</v>
      </c>
      <c r="E51" s="70">
        <f>'3.6(211+213+850)(2)'!I211</f>
        <v>5000</v>
      </c>
      <c r="F51" s="70">
        <f>'3.6(211+213+850)(4)'!J216</f>
        <v>0</v>
      </c>
      <c r="G51" s="70">
        <f>'3.6(211+213+850)(2)'!J211</f>
        <v>5000</v>
      </c>
      <c r="H51" s="70">
        <f>'3.6(211+213+850)(4)'!K216</f>
        <v>0</v>
      </c>
      <c r="I51" s="70">
        <f>'3.6(211+213+850)(2)'!K211</f>
        <v>5000</v>
      </c>
      <c r="J51" s="275" t="s">
        <v>1</v>
      </c>
      <c r="K51" s="275"/>
    </row>
    <row r="52" spans="1:13" ht="27.75" customHeight="1" x14ac:dyDescent="0.25">
      <c r="A52" s="63" t="s">
        <v>290</v>
      </c>
      <c r="B52" s="64" t="s">
        <v>291</v>
      </c>
      <c r="C52" s="64" t="s">
        <v>292</v>
      </c>
      <c r="D52" s="71">
        <v>0</v>
      </c>
      <c r="E52" s="71">
        <v>0</v>
      </c>
      <c r="F52" s="71">
        <v>0</v>
      </c>
      <c r="G52" s="71">
        <v>0</v>
      </c>
      <c r="H52" s="71">
        <v>0</v>
      </c>
      <c r="I52" s="71">
        <v>0</v>
      </c>
      <c r="J52" s="270" t="s">
        <v>1</v>
      </c>
      <c r="K52" s="270"/>
    </row>
    <row r="53" spans="1:13" ht="26.25" customHeight="1" x14ac:dyDescent="0.25">
      <c r="A53" s="4" t="s">
        <v>293</v>
      </c>
      <c r="B53" s="48" t="s">
        <v>294</v>
      </c>
      <c r="C53" s="48" t="s">
        <v>1</v>
      </c>
      <c r="D53" s="70">
        <v>0</v>
      </c>
      <c r="E53" s="70">
        <v>0</v>
      </c>
      <c r="F53" s="70">
        <v>0</v>
      </c>
      <c r="G53" s="70">
        <v>0</v>
      </c>
      <c r="H53" s="70">
        <v>0</v>
      </c>
      <c r="I53" s="70">
        <v>0</v>
      </c>
      <c r="J53" s="270" t="s">
        <v>1</v>
      </c>
      <c r="K53" s="270"/>
    </row>
    <row r="54" spans="1:13" ht="28.5" customHeight="1" x14ac:dyDescent="0.25">
      <c r="A54" s="177" t="s">
        <v>585</v>
      </c>
      <c r="B54" s="161" t="s">
        <v>295</v>
      </c>
      <c r="C54" s="161">
        <v>613</v>
      </c>
      <c r="D54" s="70">
        <v>0</v>
      </c>
      <c r="E54" s="70">
        <v>0</v>
      </c>
      <c r="F54" s="70">
        <v>0</v>
      </c>
      <c r="G54" s="70">
        <v>0</v>
      </c>
      <c r="H54" s="70">
        <v>0</v>
      </c>
      <c r="I54" s="70">
        <v>0</v>
      </c>
      <c r="J54" s="270" t="s">
        <v>1</v>
      </c>
      <c r="K54" s="270"/>
    </row>
    <row r="55" spans="1:13" ht="28.5" customHeight="1" x14ac:dyDescent="0.25">
      <c r="A55" s="177" t="s">
        <v>586</v>
      </c>
      <c r="B55" s="161">
        <v>2420</v>
      </c>
      <c r="C55" s="161">
        <v>623</v>
      </c>
      <c r="D55" s="163">
        <v>0</v>
      </c>
      <c r="E55" s="163">
        <v>0</v>
      </c>
      <c r="F55" s="163">
        <v>0</v>
      </c>
      <c r="G55" s="163">
        <v>0</v>
      </c>
      <c r="H55" s="163">
        <v>0</v>
      </c>
      <c r="I55" s="163">
        <v>0</v>
      </c>
      <c r="J55" s="270" t="s">
        <v>1</v>
      </c>
      <c r="K55" s="270"/>
    </row>
    <row r="56" spans="1:13" ht="28.5" customHeight="1" x14ac:dyDescent="0.25">
      <c r="A56" s="177" t="s">
        <v>587</v>
      </c>
      <c r="B56" s="161">
        <v>2430</v>
      </c>
      <c r="C56" s="161">
        <v>634</v>
      </c>
      <c r="D56" s="163">
        <v>0</v>
      </c>
      <c r="E56" s="163">
        <v>0</v>
      </c>
      <c r="F56" s="163">
        <v>0</v>
      </c>
      <c r="G56" s="163">
        <v>0</v>
      </c>
      <c r="H56" s="163">
        <v>0</v>
      </c>
      <c r="I56" s="163">
        <v>0</v>
      </c>
      <c r="J56" s="270" t="s">
        <v>1</v>
      </c>
      <c r="K56" s="270"/>
    </row>
    <row r="57" spans="1:13" ht="28.5" customHeight="1" x14ac:dyDescent="0.25">
      <c r="A57" s="177" t="s">
        <v>588</v>
      </c>
      <c r="B57" s="161">
        <v>2440</v>
      </c>
      <c r="C57" s="161">
        <v>810</v>
      </c>
      <c r="D57" s="163">
        <v>0</v>
      </c>
      <c r="E57" s="163">
        <v>0</v>
      </c>
      <c r="F57" s="163">
        <v>0</v>
      </c>
      <c r="G57" s="163">
        <v>0</v>
      </c>
      <c r="H57" s="163">
        <v>0</v>
      </c>
      <c r="I57" s="163">
        <v>0</v>
      </c>
      <c r="J57" s="270" t="s">
        <v>1</v>
      </c>
      <c r="K57" s="270"/>
    </row>
    <row r="58" spans="1:13" ht="18" customHeight="1" x14ac:dyDescent="0.25">
      <c r="A58" s="4" t="s">
        <v>296</v>
      </c>
      <c r="B58" s="93">
        <v>2450</v>
      </c>
      <c r="C58" s="48" t="s">
        <v>297</v>
      </c>
      <c r="D58" s="70">
        <v>0</v>
      </c>
      <c r="E58" s="70">
        <f>'3.6(211+213+850)(2)'!I220</f>
        <v>0</v>
      </c>
      <c r="F58" s="70">
        <v>0</v>
      </c>
      <c r="G58" s="70">
        <f>'3.6(211+213+850)(2)'!J220</f>
        <v>0</v>
      </c>
      <c r="H58" s="70">
        <v>0</v>
      </c>
      <c r="I58" s="70">
        <f>'3.6(211+213+850)(2)'!K220</f>
        <v>0</v>
      </c>
      <c r="J58" s="270" t="s">
        <v>1</v>
      </c>
      <c r="K58" s="270"/>
    </row>
    <row r="59" spans="1:13" ht="53.25" customHeight="1" x14ac:dyDescent="0.25">
      <c r="A59" s="4" t="s">
        <v>298</v>
      </c>
      <c r="B59" s="93">
        <v>2460</v>
      </c>
      <c r="C59" s="48" t="s">
        <v>299</v>
      </c>
      <c r="D59" s="70">
        <v>0</v>
      </c>
      <c r="E59" s="70">
        <v>0</v>
      </c>
      <c r="F59" s="70">
        <v>0</v>
      </c>
      <c r="G59" s="70">
        <v>0</v>
      </c>
      <c r="H59" s="70">
        <v>0</v>
      </c>
      <c r="I59" s="70">
        <v>0</v>
      </c>
      <c r="J59" s="270" t="s">
        <v>1</v>
      </c>
      <c r="K59" s="270"/>
    </row>
    <row r="60" spans="1:13" ht="28.5" customHeight="1" x14ac:dyDescent="0.25">
      <c r="A60" s="63" t="s">
        <v>300</v>
      </c>
      <c r="B60" s="64" t="s">
        <v>301</v>
      </c>
      <c r="C60" s="64" t="s">
        <v>1</v>
      </c>
      <c r="D60" s="71">
        <v>0</v>
      </c>
      <c r="E60" s="71">
        <v>0</v>
      </c>
      <c r="F60" s="71">
        <v>0</v>
      </c>
      <c r="G60" s="71">
        <v>0</v>
      </c>
      <c r="H60" s="71">
        <v>0</v>
      </c>
      <c r="I60" s="71">
        <v>0</v>
      </c>
      <c r="J60" s="270" t="s">
        <v>1</v>
      </c>
      <c r="K60" s="270"/>
    </row>
    <row r="61" spans="1:13" ht="51" x14ac:dyDescent="0.25">
      <c r="A61" s="63" t="s">
        <v>302</v>
      </c>
      <c r="B61" s="64" t="s">
        <v>303</v>
      </c>
      <c r="C61" s="64" t="s">
        <v>304</v>
      </c>
      <c r="D61" s="71">
        <v>0</v>
      </c>
      <c r="E61" s="71">
        <v>0</v>
      </c>
      <c r="F61" s="71">
        <v>0</v>
      </c>
      <c r="G61" s="71">
        <v>0</v>
      </c>
      <c r="H61" s="71">
        <v>0</v>
      </c>
      <c r="I61" s="71">
        <v>0</v>
      </c>
      <c r="J61" s="270" t="s">
        <v>1</v>
      </c>
      <c r="K61" s="270"/>
    </row>
    <row r="62" spans="1:13" ht="25.5" x14ac:dyDescent="0.25">
      <c r="A62" s="137" t="s">
        <v>232</v>
      </c>
      <c r="B62" s="128" t="s">
        <v>305</v>
      </c>
      <c r="C62" s="128" t="s">
        <v>1</v>
      </c>
      <c r="D62" s="130">
        <f>D65</f>
        <v>7512035.9989700001</v>
      </c>
      <c r="E62" s="130">
        <f>E65</f>
        <v>2872200.0013600001</v>
      </c>
      <c r="F62" s="130">
        <f t="shared" ref="F62:I62" si="2">F65</f>
        <v>7523486.9989700001</v>
      </c>
      <c r="G62" s="130">
        <f t="shared" si="2"/>
        <v>2872200.0013600001</v>
      </c>
      <c r="H62" s="130">
        <f t="shared" si="2"/>
        <v>7343884.9989700001</v>
      </c>
      <c r="I62" s="130">
        <f t="shared" si="2"/>
        <v>2872200.0013600001</v>
      </c>
      <c r="J62" s="130">
        <v>0</v>
      </c>
      <c r="K62" s="130">
        <v>0</v>
      </c>
    </row>
    <row r="63" spans="1:13" ht="39.75" customHeight="1" x14ac:dyDescent="0.25">
      <c r="A63" s="118" t="s">
        <v>333</v>
      </c>
      <c r="B63" s="124" t="s">
        <v>306</v>
      </c>
      <c r="C63" s="124" t="s">
        <v>334</v>
      </c>
      <c r="D63" s="72">
        <v>0</v>
      </c>
      <c r="E63" s="72">
        <v>0</v>
      </c>
      <c r="F63" s="72">
        <v>0</v>
      </c>
      <c r="G63" s="72">
        <v>0</v>
      </c>
      <c r="H63" s="72">
        <v>0</v>
      </c>
      <c r="I63" s="72">
        <v>0</v>
      </c>
      <c r="J63" s="106">
        <v>0</v>
      </c>
      <c r="K63" s="106">
        <v>0</v>
      </c>
      <c r="L63" s="43"/>
    </row>
    <row r="64" spans="1:13" ht="39.75" customHeight="1" x14ac:dyDescent="0.25">
      <c r="A64" s="4" t="s">
        <v>335</v>
      </c>
      <c r="B64" s="51" t="s">
        <v>308</v>
      </c>
      <c r="C64" s="51" t="s">
        <v>336</v>
      </c>
      <c r="D64" s="70">
        <v>0</v>
      </c>
      <c r="E64" s="70">
        <v>0</v>
      </c>
      <c r="F64" s="70">
        <v>0</v>
      </c>
      <c r="G64" s="70">
        <v>0</v>
      </c>
      <c r="H64" s="70">
        <v>0</v>
      </c>
      <c r="I64" s="70">
        <v>0</v>
      </c>
      <c r="J64" s="107">
        <v>0</v>
      </c>
      <c r="K64" s="107">
        <v>0</v>
      </c>
      <c r="L64" s="43"/>
      <c r="M64" s="43"/>
    </row>
    <row r="65" spans="1:13" ht="24.75" customHeight="1" x14ac:dyDescent="0.25">
      <c r="A65" s="137" t="s">
        <v>232</v>
      </c>
      <c r="B65" s="178">
        <v>2640</v>
      </c>
      <c r="C65" s="178">
        <v>244</v>
      </c>
      <c r="D65" s="131">
        <f t="shared" ref="D65:I65" si="3">SUM(D66:D82)</f>
        <v>7512035.9989700001</v>
      </c>
      <c r="E65" s="131">
        <f>SUM(E66:E82)</f>
        <v>2872200.0013600001</v>
      </c>
      <c r="F65" s="131">
        <f t="shared" si="3"/>
        <v>7523486.9989700001</v>
      </c>
      <c r="G65" s="131">
        <f t="shared" si="3"/>
        <v>2872200.0013600001</v>
      </c>
      <c r="H65" s="131">
        <f t="shared" si="3"/>
        <v>7343884.9989700001</v>
      </c>
      <c r="I65" s="131">
        <f t="shared" si="3"/>
        <v>2872200.0013600001</v>
      </c>
      <c r="J65" s="130">
        <v>0</v>
      </c>
      <c r="K65" s="130">
        <v>0</v>
      </c>
      <c r="L65" s="43"/>
      <c r="M65" s="43"/>
    </row>
    <row r="66" spans="1:13" x14ac:dyDescent="0.25">
      <c r="A66" s="47" t="s">
        <v>329</v>
      </c>
      <c r="B66" s="51">
        <v>2641</v>
      </c>
      <c r="C66" s="65" t="s">
        <v>307</v>
      </c>
      <c r="D66" s="72">
        <f>'244(4)'!L38</f>
        <v>50000</v>
      </c>
      <c r="E66" s="72">
        <f>'244(2)'!C12</f>
        <v>50104</v>
      </c>
      <c r="F66" s="72">
        <f>'244(4)'!L38</f>
        <v>50000</v>
      </c>
      <c r="G66" s="72">
        <f>'244(2)'!D12</f>
        <v>50104</v>
      </c>
      <c r="H66" s="72">
        <f>'244(4)'!E13</f>
        <v>50000</v>
      </c>
      <c r="I66" s="72">
        <f>'244(2)'!E12</f>
        <v>50104</v>
      </c>
      <c r="J66" s="107">
        <v>0</v>
      </c>
      <c r="K66" s="107">
        <v>0</v>
      </c>
      <c r="L66" s="43"/>
    </row>
    <row r="67" spans="1:13" x14ac:dyDescent="0.25">
      <c r="A67" s="47" t="s">
        <v>337</v>
      </c>
      <c r="B67" s="161">
        <v>2642</v>
      </c>
      <c r="C67" s="65" t="s">
        <v>307</v>
      </c>
      <c r="D67" s="72">
        <f>'244(4)'!C15</f>
        <v>0</v>
      </c>
      <c r="E67" s="70">
        <f>'244(2)'!C14</f>
        <v>75000</v>
      </c>
      <c r="F67" s="72">
        <f>'244(4)'!D15</f>
        <v>0</v>
      </c>
      <c r="G67" s="72">
        <f>'244(2)'!D14</f>
        <v>75000</v>
      </c>
      <c r="H67" s="72">
        <f>'244(4)'!E15</f>
        <v>0</v>
      </c>
      <c r="I67" s="72">
        <f>'244(2)'!E14</f>
        <v>75000</v>
      </c>
      <c r="J67" s="107">
        <v>0</v>
      </c>
      <c r="K67" s="107">
        <v>0</v>
      </c>
    </row>
    <row r="68" spans="1:13" x14ac:dyDescent="0.25">
      <c r="A68" s="4" t="s">
        <v>330</v>
      </c>
      <c r="B68" s="161">
        <v>2643</v>
      </c>
      <c r="C68" s="48" t="s">
        <v>307</v>
      </c>
      <c r="D68" s="70">
        <f>'244(4)'!C16</f>
        <v>91913.272690000013</v>
      </c>
      <c r="E68" s="70">
        <v>0</v>
      </c>
      <c r="F68" s="70">
        <f>'244(4)'!D16</f>
        <v>91913.272690000013</v>
      </c>
      <c r="G68" s="70">
        <v>0</v>
      </c>
      <c r="H68" s="70">
        <f>'244(4)'!E16</f>
        <v>91913.272690000013</v>
      </c>
      <c r="I68" s="70">
        <v>0</v>
      </c>
      <c r="J68" s="107">
        <v>0</v>
      </c>
      <c r="K68" s="107">
        <v>0</v>
      </c>
    </row>
    <row r="69" spans="1:13" x14ac:dyDescent="0.25">
      <c r="A69" s="4" t="s">
        <v>331</v>
      </c>
      <c r="B69" s="161">
        <v>2644</v>
      </c>
      <c r="C69" s="48" t="s">
        <v>307</v>
      </c>
      <c r="D69" s="70">
        <f>'244(4)'!L80</f>
        <v>0</v>
      </c>
      <c r="E69" s="70">
        <v>0</v>
      </c>
      <c r="F69" s="70">
        <v>0</v>
      </c>
      <c r="G69" s="70">
        <v>0</v>
      </c>
      <c r="H69" s="70">
        <v>0</v>
      </c>
      <c r="I69" s="70">
        <v>0</v>
      </c>
      <c r="J69" s="107">
        <v>0</v>
      </c>
      <c r="K69" s="107">
        <v>0</v>
      </c>
    </row>
    <row r="70" spans="1:13" x14ac:dyDescent="0.25">
      <c r="A70" s="4" t="s">
        <v>478</v>
      </c>
      <c r="B70" s="161">
        <v>2645</v>
      </c>
      <c r="C70" s="48" t="s">
        <v>307</v>
      </c>
      <c r="D70" s="70">
        <f>'244(4)'!C19</f>
        <v>1573864</v>
      </c>
      <c r="E70" s="70">
        <f>'244(2)'!I90</f>
        <v>273008</v>
      </c>
      <c r="F70" s="70">
        <f>'244(4)'!D19</f>
        <v>1573864</v>
      </c>
      <c r="G70" s="70">
        <f>'244(2)'!J90</f>
        <v>273008</v>
      </c>
      <c r="H70" s="70">
        <f>'244(4)'!E19</f>
        <v>1573864</v>
      </c>
      <c r="I70" s="70">
        <f>'244(2)'!K90</f>
        <v>273008</v>
      </c>
      <c r="J70" s="107">
        <v>0</v>
      </c>
      <c r="K70" s="107">
        <v>0</v>
      </c>
    </row>
    <row r="71" spans="1:13" x14ac:dyDescent="0.25">
      <c r="A71" s="4" t="s">
        <v>233</v>
      </c>
      <c r="B71" s="161">
        <v>2646</v>
      </c>
      <c r="C71" s="48" t="s">
        <v>307</v>
      </c>
      <c r="D71" s="70">
        <f>'244(4)'!C21+'244(4)'!C22+'244(5)НЕПЕЧАТ'!C22</f>
        <v>4940501</v>
      </c>
      <c r="E71" s="70">
        <f>'244(2)'!C20+'244(2)'!C19</f>
        <v>1645345</v>
      </c>
      <c r="F71" s="70">
        <f>'244(4)'!D21+'244(4)'!D22+'244(5)НЕПЕЧАТ'!D22</f>
        <v>4951952</v>
      </c>
      <c r="G71" s="70">
        <f>'244(2)'!K123+'244(2)'!D19</f>
        <v>1645345</v>
      </c>
      <c r="H71" s="70">
        <f>'244(4)'!E21+'244(4)'!E22+'244(5)НЕПЕЧАТ'!E22</f>
        <v>4772350</v>
      </c>
      <c r="I71" s="70">
        <f>'244(2)'!E20+'244(2)'!E19</f>
        <v>1645345</v>
      </c>
      <c r="J71" s="107">
        <v>0</v>
      </c>
      <c r="K71" s="107">
        <v>0</v>
      </c>
      <c r="M71" s="43"/>
    </row>
    <row r="72" spans="1:13" x14ac:dyDescent="0.25">
      <c r="A72" s="4" t="s">
        <v>323</v>
      </c>
      <c r="B72" s="161">
        <v>2647</v>
      </c>
      <c r="C72" s="48" t="s">
        <v>307</v>
      </c>
      <c r="D72" s="70">
        <f>'244(4)'!I125</f>
        <v>0</v>
      </c>
      <c r="E72" s="70">
        <v>0</v>
      </c>
      <c r="F72" s="70">
        <v>0</v>
      </c>
      <c r="G72" s="70">
        <v>0</v>
      </c>
      <c r="H72" s="70">
        <v>0</v>
      </c>
      <c r="I72" s="70">
        <v>0</v>
      </c>
      <c r="J72" s="107">
        <v>0</v>
      </c>
      <c r="K72" s="107">
        <v>0</v>
      </c>
    </row>
    <row r="73" spans="1:13" ht="25.5" x14ac:dyDescent="0.25">
      <c r="A73" s="4" t="s">
        <v>324</v>
      </c>
      <c r="B73" s="161">
        <v>2648</v>
      </c>
      <c r="C73" s="48" t="s">
        <v>307</v>
      </c>
      <c r="D73" s="70">
        <f>'244(5)НЕПЕЧАТ'!C23</f>
        <v>0</v>
      </c>
      <c r="E73" s="70">
        <f>'244(2)'!C21</f>
        <v>0</v>
      </c>
      <c r="F73" s="70">
        <f>'244(5)НЕПЕЧАТ'!D23</f>
        <v>0</v>
      </c>
      <c r="G73" s="70">
        <f>'244(2)'!D21</f>
        <v>0</v>
      </c>
      <c r="H73" s="70">
        <f>'244(5)НЕПЕЧАТ'!E23</f>
        <v>0</v>
      </c>
      <c r="I73" s="70">
        <f>'244(2)'!E21</f>
        <v>0</v>
      </c>
      <c r="J73" s="107">
        <v>0</v>
      </c>
      <c r="K73" s="107">
        <v>0</v>
      </c>
    </row>
    <row r="74" spans="1:13" ht="39" customHeight="1" x14ac:dyDescent="0.25">
      <c r="A74" s="4" t="s">
        <v>536</v>
      </c>
      <c r="B74" s="117">
        <v>26490</v>
      </c>
      <c r="C74" s="115" t="s">
        <v>307</v>
      </c>
      <c r="D74" s="125">
        <v>0</v>
      </c>
      <c r="E74" s="125">
        <v>0</v>
      </c>
      <c r="F74" s="125">
        <v>0</v>
      </c>
      <c r="G74" s="125">
        <v>0</v>
      </c>
      <c r="H74" s="125">
        <v>0</v>
      </c>
      <c r="I74" s="125">
        <v>0</v>
      </c>
      <c r="J74" s="107">
        <v>0</v>
      </c>
      <c r="K74" s="107">
        <v>0</v>
      </c>
    </row>
    <row r="75" spans="1:13" ht="15.75" customHeight="1" x14ac:dyDescent="0.25">
      <c r="A75" s="4" t="s">
        <v>325</v>
      </c>
      <c r="B75" s="117">
        <v>26491</v>
      </c>
      <c r="C75" s="48" t="s">
        <v>307</v>
      </c>
      <c r="D75" s="70">
        <f>0</f>
        <v>0</v>
      </c>
      <c r="E75" s="70">
        <f>'244(2)'!C24</f>
        <v>0</v>
      </c>
      <c r="F75" s="70">
        <v>0</v>
      </c>
      <c r="G75" s="70">
        <f>'244(2)'!D24</f>
        <v>0</v>
      </c>
      <c r="H75" s="70">
        <v>0</v>
      </c>
      <c r="I75" s="70">
        <f>'244(2)'!E24</f>
        <v>0</v>
      </c>
      <c r="J75" s="107">
        <v>0</v>
      </c>
      <c r="K75" s="107">
        <v>0</v>
      </c>
    </row>
    <row r="76" spans="1:13" ht="25.5" x14ac:dyDescent="0.25">
      <c r="A76" s="4" t="s">
        <v>326</v>
      </c>
      <c r="B76" s="161">
        <v>26492</v>
      </c>
      <c r="C76" s="48" t="s">
        <v>307</v>
      </c>
      <c r="D76" s="70">
        <f>'244(4)'!C24</f>
        <v>0</v>
      </c>
      <c r="E76" s="70">
        <f>'244(2)'!C25</f>
        <v>200000</v>
      </c>
      <c r="F76" s="70">
        <v>0</v>
      </c>
      <c r="G76" s="70">
        <f>'244(2)'!D25</f>
        <v>200000</v>
      </c>
      <c r="H76" s="70">
        <v>0</v>
      </c>
      <c r="I76" s="70">
        <f>'244(2)'!E25</f>
        <v>200000</v>
      </c>
      <c r="J76" s="107">
        <v>0</v>
      </c>
      <c r="K76" s="107">
        <v>0</v>
      </c>
    </row>
    <row r="77" spans="1:13" ht="25.5" x14ac:dyDescent="0.25">
      <c r="A77" s="4" t="s">
        <v>327</v>
      </c>
      <c r="B77" s="161">
        <v>26493</v>
      </c>
      <c r="C77" s="48" t="s">
        <v>307</v>
      </c>
      <c r="D77" s="70">
        <f>0</f>
        <v>0</v>
      </c>
      <c r="E77" s="70">
        <f>'244(2)'!I163</f>
        <v>0</v>
      </c>
      <c r="F77" s="70">
        <v>0</v>
      </c>
      <c r="G77" s="70">
        <v>0</v>
      </c>
      <c r="H77" s="70">
        <v>0</v>
      </c>
      <c r="I77" s="70">
        <v>0</v>
      </c>
      <c r="J77" s="107">
        <v>0</v>
      </c>
      <c r="K77" s="107">
        <v>0</v>
      </c>
    </row>
    <row r="78" spans="1:13" x14ac:dyDescent="0.25">
      <c r="A78" s="4" t="s">
        <v>353</v>
      </c>
      <c r="B78" s="161">
        <v>26494</v>
      </c>
      <c r="C78" s="48" t="s">
        <v>307</v>
      </c>
      <c r="D78" s="70">
        <v>0</v>
      </c>
      <c r="E78" s="70">
        <f>'244(2)'!C27</f>
        <v>15000</v>
      </c>
      <c r="F78" s="70">
        <v>0</v>
      </c>
      <c r="G78" s="70">
        <f>'244(2)'!D27</f>
        <v>15000</v>
      </c>
      <c r="H78" s="70">
        <v>0</v>
      </c>
      <c r="I78" s="70">
        <f>'244(2)'!E27</f>
        <v>15000</v>
      </c>
      <c r="J78" s="107">
        <v>0</v>
      </c>
      <c r="K78" s="107">
        <v>0</v>
      </c>
    </row>
    <row r="79" spans="1:13" ht="25.5" x14ac:dyDescent="0.25">
      <c r="A79" s="4" t="s">
        <v>328</v>
      </c>
      <c r="B79" s="161">
        <v>26495</v>
      </c>
      <c r="C79" s="48" t="s">
        <v>307</v>
      </c>
      <c r="D79" s="70">
        <f>'244(4)'!C25</f>
        <v>0</v>
      </c>
      <c r="E79" s="70">
        <f>'244(2)'!C28</f>
        <v>234505</v>
      </c>
      <c r="F79" s="70">
        <f>'244(4)'!D25</f>
        <v>0</v>
      </c>
      <c r="G79" s="70">
        <f>'244(2)'!D28</f>
        <v>234505</v>
      </c>
      <c r="H79" s="70">
        <f>'244(4)'!E25</f>
        <v>0</v>
      </c>
      <c r="I79" s="70">
        <f>'244(2)'!E28</f>
        <v>234505</v>
      </c>
      <c r="J79" s="107">
        <v>0</v>
      </c>
      <c r="K79" s="107">
        <v>0</v>
      </c>
    </row>
    <row r="80" spans="1:13" ht="25.5" x14ac:dyDescent="0.25">
      <c r="A80" s="4" t="s">
        <v>332</v>
      </c>
      <c r="B80" s="161">
        <v>26496</v>
      </c>
      <c r="C80" s="48" t="s">
        <v>307</v>
      </c>
      <c r="D80" s="70">
        <f>'244(4)'!C26</f>
        <v>0</v>
      </c>
      <c r="E80" s="70">
        <f>'244(2)'!C29</f>
        <v>10000</v>
      </c>
      <c r="F80" s="70">
        <f>'244(5)НЕПЕЧАТ'!D25</f>
        <v>0</v>
      </c>
      <c r="G80" s="70">
        <f>'244(2)'!D29</f>
        <v>10000</v>
      </c>
      <c r="H80" s="70">
        <f>'244(5)НЕПЕЧАТ'!E25</f>
        <v>0</v>
      </c>
      <c r="I80" s="70">
        <f>'244(2)'!E29</f>
        <v>10000</v>
      </c>
      <c r="J80" s="107">
        <v>0</v>
      </c>
      <c r="K80" s="107">
        <v>0</v>
      </c>
    </row>
    <row r="81" spans="1:13" ht="51" x14ac:dyDescent="0.25">
      <c r="A81" s="4" t="s">
        <v>621</v>
      </c>
      <c r="B81" s="216">
        <v>2650</v>
      </c>
      <c r="C81" s="93">
        <v>246</v>
      </c>
      <c r="D81" s="218"/>
      <c r="E81" s="218"/>
      <c r="F81" s="218"/>
      <c r="G81" s="218"/>
      <c r="H81" s="218"/>
      <c r="I81" s="218"/>
      <c r="J81" s="107"/>
      <c r="K81" s="107"/>
    </row>
    <row r="82" spans="1:13" x14ac:dyDescent="0.25">
      <c r="A82" s="45" t="s">
        <v>642</v>
      </c>
      <c r="B82" s="51">
        <v>2660</v>
      </c>
      <c r="C82" s="93">
        <v>247</v>
      </c>
      <c r="D82" s="70">
        <f>'244(4)'!C17</f>
        <v>855757.72628000006</v>
      </c>
      <c r="E82" s="70">
        <f>'244(2)'!C15</f>
        <v>369238.00136000005</v>
      </c>
      <c r="F82" s="70">
        <f>'244(4)'!D17</f>
        <v>855757.72628000006</v>
      </c>
      <c r="G82" s="70">
        <f>'244(2)'!J62</f>
        <v>369238.00136000005</v>
      </c>
      <c r="H82" s="70">
        <f>'244(4)'!E17</f>
        <v>855757.72628000006</v>
      </c>
      <c r="I82" s="70">
        <f>'244(2)'!K62</f>
        <v>369238.00136000005</v>
      </c>
      <c r="J82" s="107">
        <v>0</v>
      </c>
      <c r="K82" s="107">
        <v>0</v>
      </c>
    </row>
    <row r="83" spans="1:13" ht="25.5" x14ac:dyDescent="0.25">
      <c r="A83" s="4" t="s">
        <v>309</v>
      </c>
      <c r="B83" s="51">
        <v>2700</v>
      </c>
      <c r="C83" s="48" t="s">
        <v>310</v>
      </c>
      <c r="D83" s="70">
        <v>0</v>
      </c>
      <c r="E83" s="70">
        <v>0</v>
      </c>
      <c r="F83" s="70">
        <v>0</v>
      </c>
      <c r="G83" s="70">
        <v>0</v>
      </c>
      <c r="H83" s="70">
        <v>0</v>
      </c>
      <c r="I83" s="70">
        <v>0</v>
      </c>
      <c r="J83" s="107">
        <v>0</v>
      </c>
      <c r="K83" s="107">
        <v>0</v>
      </c>
    </row>
    <row r="84" spans="1:13" ht="38.25" x14ac:dyDescent="0.25">
      <c r="A84" s="4" t="s">
        <v>311</v>
      </c>
      <c r="B84" s="51">
        <v>2710</v>
      </c>
      <c r="C84" s="48" t="s">
        <v>312</v>
      </c>
      <c r="D84" s="70">
        <v>0</v>
      </c>
      <c r="E84" s="70">
        <v>0</v>
      </c>
      <c r="F84" s="70">
        <v>0</v>
      </c>
      <c r="G84" s="70">
        <v>0</v>
      </c>
      <c r="H84" s="70">
        <v>0</v>
      </c>
      <c r="I84" s="70">
        <v>0</v>
      </c>
      <c r="J84" s="107">
        <v>0</v>
      </c>
      <c r="K84" s="107">
        <v>0</v>
      </c>
    </row>
    <row r="85" spans="1:13" ht="38.25" x14ac:dyDescent="0.25">
      <c r="A85" s="63" t="s">
        <v>313</v>
      </c>
      <c r="B85" s="51">
        <v>2720</v>
      </c>
      <c r="C85" s="64" t="s">
        <v>314</v>
      </c>
      <c r="D85" s="71">
        <v>0</v>
      </c>
      <c r="E85" s="71">
        <v>0</v>
      </c>
      <c r="F85" s="71">
        <v>0</v>
      </c>
      <c r="G85" s="71">
        <v>0</v>
      </c>
      <c r="H85" s="71">
        <v>0</v>
      </c>
      <c r="I85" s="71">
        <v>0</v>
      </c>
      <c r="J85" s="107">
        <v>0</v>
      </c>
      <c r="K85" s="107">
        <v>0</v>
      </c>
      <c r="M85" s="43"/>
    </row>
    <row r="86" spans="1:13" x14ac:dyDescent="0.25">
      <c r="A86" s="252" t="s">
        <v>649</v>
      </c>
      <c r="B86" s="254">
        <v>2800</v>
      </c>
      <c r="C86" s="259">
        <v>880</v>
      </c>
      <c r="D86" s="71">
        <v>0</v>
      </c>
      <c r="E86" s="71">
        <v>0</v>
      </c>
      <c r="F86" s="71">
        <v>0</v>
      </c>
      <c r="G86" s="71">
        <v>0</v>
      </c>
      <c r="H86" s="71">
        <v>0</v>
      </c>
      <c r="I86" s="71">
        <v>0</v>
      </c>
      <c r="J86" s="107">
        <v>0</v>
      </c>
      <c r="K86" s="107">
        <v>0</v>
      </c>
      <c r="M86" s="43"/>
    </row>
    <row r="87" spans="1:13" x14ac:dyDescent="0.25">
      <c r="A87" s="179" t="s">
        <v>315</v>
      </c>
      <c r="B87" s="180">
        <v>3000</v>
      </c>
      <c r="C87" s="30" t="s">
        <v>316</v>
      </c>
      <c r="D87" s="265"/>
      <c r="E87" s="266"/>
      <c r="F87" s="265"/>
      <c r="G87" s="267"/>
      <c r="H87" s="268"/>
      <c r="I87" s="267"/>
      <c r="J87" s="271" t="s">
        <v>1</v>
      </c>
      <c r="K87" s="272"/>
    </row>
    <row r="88" spans="1:13" x14ac:dyDescent="0.25">
      <c r="A88" s="4" t="s">
        <v>317</v>
      </c>
      <c r="B88" s="51">
        <v>3010</v>
      </c>
      <c r="C88" s="66"/>
      <c r="D88" s="265"/>
      <c r="E88" s="266"/>
      <c r="F88" s="265"/>
      <c r="G88" s="267"/>
      <c r="H88" s="268"/>
      <c r="I88" s="267"/>
      <c r="J88" s="273" t="s">
        <v>1</v>
      </c>
      <c r="K88" s="274"/>
    </row>
    <row r="89" spans="1:13" x14ac:dyDescent="0.25">
      <c r="A89" s="4" t="s">
        <v>318</v>
      </c>
      <c r="B89" s="51">
        <v>3020</v>
      </c>
      <c r="C89" s="66"/>
      <c r="D89" s="265"/>
      <c r="E89" s="266"/>
      <c r="F89" s="265"/>
      <c r="G89" s="267"/>
      <c r="H89" s="268"/>
      <c r="I89" s="267"/>
      <c r="J89" s="273" t="s">
        <v>1</v>
      </c>
      <c r="K89" s="274"/>
    </row>
    <row r="90" spans="1:13" x14ac:dyDescent="0.25">
      <c r="A90" s="4" t="s">
        <v>319</v>
      </c>
      <c r="B90" s="51">
        <v>3030</v>
      </c>
      <c r="C90" s="66"/>
      <c r="D90" s="265"/>
      <c r="E90" s="266"/>
      <c r="F90" s="265"/>
      <c r="G90" s="267"/>
      <c r="H90" s="268"/>
      <c r="I90" s="267"/>
      <c r="J90" s="273" t="s">
        <v>1</v>
      </c>
      <c r="K90" s="274"/>
    </row>
    <row r="91" spans="1:13" x14ac:dyDescent="0.25">
      <c r="A91" s="179" t="s">
        <v>320</v>
      </c>
      <c r="B91" s="180">
        <v>4000</v>
      </c>
      <c r="C91" s="48" t="s">
        <v>1</v>
      </c>
      <c r="D91" s="265"/>
      <c r="E91" s="266"/>
      <c r="F91" s="265"/>
      <c r="G91" s="267"/>
      <c r="H91" s="268"/>
      <c r="I91" s="267"/>
      <c r="J91" s="273" t="s">
        <v>1</v>
      </c>
      <c r="K91" s="274"/>
    </row>
    <row r="92" spans="1:13" x14ac:dyDescent="0.25">
      <c r="A92" s="4" t="s">
        <v>321</v>
      </c>
      <c r="B92" s="51">
        <v>4010</v>
      </c>
      <c r="C92" s="48" t="s">
        <v>322</v>
      </c>
      <c r="D92" s="265"/>
      <c r="E92" s="266"/>
      <c r="F92" s="265"/>
      <c r="G92" s="267"/>
      <c r="H92" s="268"/>
      <c r="I92" s="267"/>
      <c r="J92" s="273" t="s">
        <v>1</v>
      </c>
      <c r="K92" s="274"/>
    </row>
  </sheetData>
  <mergeCells count="75">
    <mergeCell ref="J55:K55"/>
    <mergeCell ref="J56:K56"/>
    <mergeCell ref="J57:K57"/>
    <mergeCell ref="A24:A25"/>
    <mergeCell ref="B24:B25"/>
    <mergeCell ref="C24:C25"/>
    <mergeCell ref="F24:F25"/>
    <mergeCell ref="G24:G25"/>
    <mergeCell ref="H24:H25"/>
    <mergeCell ref="J53:K53"/>
    <mergeCell ref="J54:K54"/>
    <mergeCell ref="J46:K46"/>
    <mergeCell ref="J47:K47"/>
    <mergeCell ref="J49:K49"/>
    <mergeCell ref="J50:K50"/>
    <mergeCell ref="D11:E11"/>
    <mergeCell ref="F11:G11"/>
    <mergeCell ref="H11:I11"/>
    <mergeCell ref="J51:K51"/>
    <mergeCell ref="J39:K39"/>
    <mergeCell ref="J40:K40"/>
    <mergeCell ref="D24:D25"/>
    <mergeCell ref="E24:E25"/>
    <mergeCell ref="I24:I25"/>
    <mergeCell ref="J24:J25"/>
    <mergeCell ref="K24:K25"/>
    <mergeCell ref="J41:K41"/>
    <mergeCell ref="J42:K42"/>
    <mergeCell ref="J43:K43"/>
    <mergeCell ref="J44:K44"/>
    <mergeCell ref="J48:K48"/>
    <mergeCell ref="J58:K58"/>
    <mergeCell ref="J59:K59"/>
    <mergeCell ref="A2:K2"/>
    <mergeCell ref="A4:K4"/>
    <mergeCell ref="A5:K5"/>
    <mergeCell ref="A7:K7"/>
    <mergeCell ref="J37:K37"/>
    <mergeCell ref="A9:A12"/>
    <mergeCell ref="B9:B12"/>
    <mergeCell ref="C9:C12"/>
    <mergeCell ref="D9:K9"/>
    <mergeCell ref="D10:E10"/>
    <mergeCell ref="F10:G10"/>
    <mergeCell ref="H10:I10"/>
    <mergeCell ref="J38:K38"/>
    <mergeCell ref="J52:K52"/>
    <mergeCell ref="J10:K11"/>
    <mergeCell ref="J60:K60"/>
    <mergeCell ref="F92:G92"/>
    <mergeCell ref="H88:I88"/>
    <mergeCell ref="H89:I89"/>
    <mergeCell ref="J87:K87"/>
    <mergeCell ref="J88:K88"/>
    <mergeCell ref="J89:K89"/>
    <mergeCell ref="J90:K90"/>
    <mergeCell ref="J91:K91"/>
    <mergeCell ref="H90:I90"/>
    <mergeCell ref="H91:I91"/>
    <mergeCell ref="H92:I92"/>
    <mergeCell ref="J92:K92"/>
    <mergeCell ref="J61:K61"/>
    <mergeCell ref="J45:K45"/>
    <mergeCell ref="D87:E87"/>
    <mergeCell ref="F87:G87"/>
    <mergeCell ref="H87:I87"/>
    <mergeCell ref="D88:E88"/>
    <mergeCell ref="D89:E89"/>
    <mergeCell ref="D90:E90"/>
    <mergeCell ref="D91:E91"/>
    <mergeCell ref="D92:E92"/>
    <mergeCell ref="F88:G88"/>
    <mergeCell ref="F89:G89"/>
    <mergeCell ref="F90:G90"/>
    <mergeCell ref="F91:G91"/>
  </mergeCells>
  <printOptions horizontalCentered="1"/>
  <pageMargins left="0.19685039370078741" right="0.59055118110236227" top="0.39370078740157483" bottom="0.19685039370078741" header="0.31496062992125984" footer="0.31496062992125984"/>
  <pageSetup paperSize="9" scale="90" fitToHeight="0" orientation="landscape" r:id="rId1"/>
  <rowBreaks count="3" manualBreakCount="3">
    <brk id="23" max="10" man="1"/>
    <brk id="48" max="10" man="1"/>
    <brk id="7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0000"/>
    <pageSetUpPr fitToPage="1"/>
  </sheetPr>
  <dimension ref="A1:J52"/>
  <sheetViews>
    <sheetView view="pageBreakPreview" topLeftCell="A13" zoomScaleSheetLayoutView="100" workbookViewId="0">
      <selection activeCell="I4" sqref="I4"/>
    </sheetView>
  </sheetViews>
  <sheetFormatPr defaultRowHeight="12.75" x14ac:dyDescent="0.2"/>
  <cols>
    <col min="1" max="1" width="7.42578125" customWidth="1"/>
    <col min="2" max="2" width="38.85546875" customWidth="1"/>
    <col min="3" max="3" width="8.85546875" customWidth="1"/>
    <col min="4" max="4" width="7.85546875" customWidth="1"/>
    <col min="5" max="5" width="12.7109375" customWidth="1"/>
    <col min="6" max="6" width="10.7109375" customWidth="1"/>
    <col min="7" max="7" width="15.140625" customWidth="1"/>
    <col min="8" max="9" width="13.85546875" customWidth="1"/>
    <col min="10" max="10" width="12.7109375" customWidth="1"/>
    <col min="11" max="11" width="9.42578125" customWidth="1"/>
    <col min="12" max="13" width="9.5703125" customWidth="1"/>
  </cols>
  <sheetData>
    <row r="1" spans="1:10" ht="21" customHeight="1" x14ac:dyDescent="0.2">
      <c r="A1" s="278" t="s">
        <v>5</v>
      </c>
      <c r="B1" s="297"/>
      <c r="C1" s="297"/>
      <c r="D1" s="297"/>
      <c r="E1" s="297"/>
      <c r="F1" s="297"/>
      <c r="G1" s="297"/>
      <c r="H1" s="297"/>
      <c r="I1" s="297"/>
      <c r="J1" s="297"/>
    </row>
    <row r="2" spans="1:10" x14ac:dyDescent="0.2">
      <c r="A2" s="298" t="s">
        <v>389</v>
      </c>
      <c r="B2" s="299" t="s">
        <v>193</v>
      </c>
      <c r="C2" s="269" t="s">
        <v>390</v>
      </c>
      <c r="D2" s="269" t="s">
        <v>391</v>
      </c>
      <c r="E2" s="302" t="s">
        <v>622</v>
      </c>
      <c r="F2" s="302" t="s">
        <v>623</v>
      </c>
      <c r="G2" s="300" t="s">
        <v>392</v>
      </c>
      <c r="H2" s="300"/>
      <c r="I2" s="300"/>
      <c r="J2" s="300"/>
    </row>
    <row r="3" spans="1:10" x14ac:dyDescent="0.2">
      <c r="A3" s="298"/>
      <c r="B3" s="299"/>
      <c r="C3" s="269"/>
      <c r="D3" s="269"/>
      <c r="E3" s="303"/>
      <c r="F3" s="303"/>
      <c r="G3" s="51" t="s">
        <v>399</v>
      </c>
      <c r="H3" s="51" t="s">
        <v>611</v>
      </c>
      <c r="I3" s="51" t="s">
        <v>650</v>
      </c>
      <c r="J3" s="299" t="s">
        <v>236</v>
      </c>
    </row>
    <row r="4" spans="1:10" ht="64.5" customHeight="1" x14ac:dyDescent="0.2">
      <c r="A4" s="298"/>
      <c r="B4" s="299"/>
      <c r="C4" s="269"/>
      <c r="D4" s="269"/>
      <c r="E4" s="304"/>
      <c r="F4" s="304"/>
      <c r="G4" s="54" t="s">
        <v>44</v>
      </c>
      <c r="H4" s="54" t="s">
        <v>45</v>
      </c>
      <c r="I4" s="54" t="s">
        <v>46</v>
      </c>
      <c r="J4" s="299"/>
    </row>
    <row r="5" spans="1:10" x14ac:dyDescent="0.2">
      <c r="A5" s="51" t="s">
        <v>190</v>
      </c>
      <c r="B5" s="54" t="s">
        <v>73</v>
      </c>
      <c r="C5" s="54" t="s">
        <v>47</v>
      </c>
      <c r="D5" s="51" t="s">
        <v>48</v>
      </c>
      <c r="E5" s="216" t="s">
        <v>624</v>
      </c>
      <c r="F5" s="216" t="s">
        <v>625</v>
      </c>
      <c r="G5" s="51" t="s">
        <v>49</v>
      </c>
      <c r="H5" s="51" t="s">
        <v>52</v>
      </c>
      <c r="I5" s="51" t="s">
        <v>53</v>
      </c>
      <c r="J5" s="51" t="s">
        <v>91</v>
      </c>
    </row>
    <row r="6" spans="1:10" ht="17.25" customHeight="1" x14ac:dyDescent="0.2">
      <c r="A6" s="48" t="s">
        <v>190</v>
      </c>
      <c r="B6" s="38" t="s">
        <v>341</v>
      </c>
      <c r="C6" s="59" t="s">
        <v>370</v>
      </c>
      <c r="D6" s="37" t="s">
        <v>1</v>
      </c>
      <c r="E6" s="217"/>
      <c r="F6" s="217"/>
      <c r="G6" s="48">
        <f>G14+G9</f>
        <v>10384236.000330001</v>
      </c>
      <c r="H6" s="48">
        <f>H14</f>
        <v>10395687.000330001</v>
      </c>
      <c r="I6" s="48">
        <f>I14</f>
        <v>10216085.000330001</v>
      </c>
      <c r="J6" s="48">
        <v>0</v>
      </c>
    </row>
    <row r="7" spans="1:10" ht="143.25" customHeight="1" x14ac:dyDescent="0.2">
      <c r="A7" s="37" t="s">
        <v>354</v>
      </c>
      <c r="B7" s="38" t="s">
        <v>342</v>
      </c>
      <c r="C7" s="59" t="s">
        <v>371</v>
      </c>
      <c r="D7" s="37" t="s">
        <v>1</v>
      </c>
      <c r="E7" s="217"/>
      <c r="F7" s="217"/>
      <c r="G7" s="48">
        <v>0</v>
      </c>
      <c r="H7" s="48">
        <v>0</v>
      </c>
      <c r="I7" s="48">
        <v>0</v>
      </c>
      <c r="J7" s="48">
        <v>0</v>
      </c>
    </row>
    <row r="8" spans="1:10" ht="63.75" customHeight="1" x14ac:dyDescent="0.2">
      <c r="A8" s="48" t="s">
        <v>355</v>
      </c>
      <c r="B8" s="38" t="s">
        <v>2</v>
      </c>
      <c r="C8" s="59" t="s">
        <v>372</v>
      </c>
      <c r="D8" s="37" t="s">
        <v>1</v>
      </c>
      <c r="E8" s="217"/>
      <c r="F8" s="217"/>
      <c r="G8" s="48">
        <v>0</v>
      </c>
      <c r="H8" s="48">
        <v>0</v>
      </c>
      <c r="I8" s="48">
        <v>0</v>
      </c>
      <c r="J8" s="48">
        <v>0</v>
      </c>
    </row>
    <row r="9" spans="1:10" ht="51.75" customHeight="1" x14ac:dyDescent="0.2">
      <c r="A9" s="37" t="s">
        <v>356</v>
      </c>
      <c r="B9" s="38" t="s">
        <v>343</v>
      </c>
      <c r="C9" s="60" t="s">
        <v>373</v>
      </c>
      <c r="D9" s="37" t="s">
        <v>1</v>
      </c>
      <c r="E9" s="217"/>
      <c r="F9" s="217"/>
      <c r="G9" s="52">
        <f>'244(4)'!C10+'244(2)'!C9</f>
        <v>0</v>
      </c>
      <c r="H9" s="48">
        <v>0</v>
      </c>
      <c r="I9" s="48">
        <v>0</v>
      </c>
      <c r="J9" s="48">
        <v>0</v>
      </c>
    </row>
    <row r="10" spans="1:10" ht="27" customHeight="1" x14ac:dyDescent="0.2">
      <c r="A10" s="181" t="s">
        <v>589</v>
      </c>
      <c r="B10" s="182" t="s">
        <v>592</v>
      </c>
      <c r="C10" s="161">
        <v>26310</v>
      </c>
      <c r="D10" s="196" t="s">
        <v>1</v>
      </c>
      <c r="E10" s="217"/>
      <c r="F10" s="217"/>
      <c r="G10" s="52">
        <v>0</v>
      </c>
      <c r="H10" s="159">
        <v>0</v>
      </c>
      <c r="I10" s="159">
        <v>0</v>
      </c>
      <c r="J10" s="159">
        <v>0</v>
      </c>
    </row>
    <row r="11" spans="1:10" ht="13.5" customHeight="1" x14ac:dyDescent="0.2">
      <c r="A11" s="181"/>
      <c r="B11" s="182" t="s">
        <v>626</v>
      </c>
      <c r="C11" s="161" t="s">
        <v>590</v>
      </c>
      <c r="D11" s="196"/>
      <c r="E11" s="217"/>
      <c r="F11" s="217"/>
      <c r="G11" s="52">
        <v>0</v>
      </c>
      <c r="H11" s="159">
        <v>0</v>
      </c>
      <c r="I11" s="159">
        <v>0</v>
      </c>
      <c r="J11" s="159">
        <v>0</v>
      </c>
    </row>
    <row r="12" spans="1:10" ht="13.5" customHeight="1" x14ac:dyDescent="0.2">
      <c r="A12" s="181"/>
      <c r="B12" s="182" t="s">
        <v>628</v>
      </c>
      <c r="C12" s="216" t="s">
        <v>627</v>
      </c>
      <c r="D12" s="217"/>
      <c r="E12" s="217"/>
      <c r="F12" s="217"/>
      <c r="G12" s="52"/>
      <c r="H12" s="212"/>
      <c r="I12" s="212"/>
      <c r="J12" s="212"/>
    </row>
    <row r="13" spans="1:10" ht="27" customHeight="1" x14ac:dyDescent="0.2">
      <c r="A13" s="181" t="s">
        <v>591</v>
      </c>
      <c r="B13" s="182" t="s">
        <v>347</v>
      </c>
      <c r="C13" s="161">
        <v>26320</v>
      </c>
      <c r="D13" s="196" t="s">
        <v>1</v>
      </c>
      <c r="E13" s="217"/>
      <c r="F13" s="217"/>
      <c r="G13" s="52">
        <v>0</v>
      </c>
      <c r="H13" s="159">
        <v>0</v>
      </c>
      <c r="I13" s="159">
        <v>0</v>
      </c>
      <c r="J13" s="159">
        <v>0</v>
      </c>
    </row>
    <row r="14" spans="1:10" ht="64.5" customHeight="1" x14ac:dyDescent="0.2">
      <c r="A14" s="37" t="s">
        <v>357</v>
      </c>
      <c r="B14" s="38" t="s">
        <v>344</v>
      </c>
      <c r="C14" s="60" t="s">
        <v>374</v>
      </c>
      <c r="D14" s="37" t="s">
        <v>1</v>
      </c>
      <c r="E14" s="217"/>
      <c r="F14" s="217"/>
      <c r="G14" s="48">
        <f>G15+G18+G25</f>
        <v>10384236.000330001</v>
      </c>
      <c r="H14" s="195">
        <f t="shared" ref="H14:I14" si="0">H15+H18+H25</f>
        <v>10395687.000330001</v>
      </c>
      <c r="I14" s="195">
        <f t="shared" si="0"/>
        <v>10216085.000330001</v>
      </c>
      <c r="J14" s="48">
        <v>0</v>
      </c>
    </row>
    <row r="15" spans="1:10" ht="39.75" customHeight="1" x14ac:dyDescent="0.2">
      <c r="A15" s="37" t="s">
        <v>358</v>
      </c>
      <c r="B15" s="38" t="s">
        <v>345</v>
      </c>
      <c r="C15" s="60" t="s">
        <v>375</v>
      </c>
      <c r="D15" s="37" t="s">
        <v>1</v>
      </c>
      <c r="E15" s="217"/>
      <c r="F15" s="217"/>
      <c r="G15" s="48">
        <f>G16</f>
        <v>7512035.9989700001</v>
      </c>
      <c r="H15" s="48">
        <f>H16</f>
        <v>7523486.9989700001</v>
      </c>
      <c r="I15" s="48">
        <f>I16</f>
        <v>7343884.9989700001</v>
      </c>
      <c r="J15" s="48">
        <v>0</v>
      </c>
    </row>
    <row r="16" spans="1:10" ht="25.5" x14ac:dyDescent="0.2">
      <c r="A16" s="48" t="s">
        <v>359</v>
      </c>
      <c r="B16" s="38" t="s">
        <v>346</v>
      </c>
      <c r="C16" s="60" t="s">
        <v>376</v>
      </c>
      <c r="D16" s="37" t="s">
        <v>1</v>
      </c>
      <c r="E16" s="217"/>
      <c r="F16" s="217"/>
      <c r="G16" s="48">
        <f>'244(4)'!C12-'244(4)'!C10</f>
        <v>7512035.9989700001</v>
      </c>
      <c r="H16" s="48">
        <f>'244(4)'!D12</f>
        <v>7523486.9989700001</v>
      </c>
      <c r="I16" s="48">
        <f>'244(4)'!E12</f>
        <v>7343884.9989700001</v>
      </c>
      <c r="J16" s="48">
        <v>0</v>
      </c>
    </row>
    <row r="17" spans="1:10" ht="25.5" customHeight="1" x14ac:dyDescent="0.2">
      <c r="A17" s="48" t="s">
        <v>360</v>
      </c>
      <c r="B17" s="38" t="s">
        <v>347</v>
      </c>
      <c r="C17" s="60" t="s">
        <v>377</v>
      </c>
      <c r="D17" s="37" t="s">
        <v>1</v>
      </c>
      <c r="E17" s="217"/>
      <c r="F17" s="217"/>
      <c r="G17" s="48">
        <v>0</v>
      </c>
      <c r="H17" s="48">
        <v>0</v>
      </c>
      <c r="I17" s="48">
        <v>0</v>
      </c>
      <c r="J17" s="48">
        <v>0</v>
      </c>
    </row>
    <row r="18" spans="1:10" ht="52.5" customHeight="1" x14ac:dyDescent="0.2">
      <c r="A18" s="48" t="s">
        <v>361</v>
      </c>
      <c r="B18" s="38" t="s">
        <v>338</v>
      </c>
      <c r="C18" s="60" t="s">
        <v>378</v>
      </c>
      <c r="D18" s="37" t="s">
        <v>1</v>
      </c>
      <c r="E18" s="217"/>
      <c r="F18" s="217"/>
      <c r="G18" s="48">
        <f>G19</f>
        <v>0</v>
      </c>
      <c r="H18" s="48">
        <f>H19</f>
        <v>0</v>
      </c>
      <c r="I18" s="48">
        <f>I19</f>
        <v>0</v>
      </c>
      <c r="J18" s="48">
        <v>0</v>
      </c>
    </row>
    <row r="19" spans="1:10" ht="25.5" x14ac:dyDescent="0.2">
      <c r="A19" s="37" t="s">
        <v>362</v>
      </c>
      <c r="B19" s="38" t="s">
        <v>346</v>
      </c>
      <c r="C19" s="60" t="s">
        <v>379</v>
      </c>
      <c r="D19" s="37" t="s">
        <v>1</v>
      </c>
      <c r="E19" s="217"/>
      <c r="F19" s="217"/>
      <c r="G19" s="48">
        <f>'244(5)НЕПЕЧАТ'!C12</f>
        <v>0</v>
      </c>
      <c r="H19" s="48">
        <f>'244(5)НЕПЕЧАТ'!D12</f>
        <v>0</v>
      </c>
      <c r="I19" s="48">
        <f>'244(5)НЕПЕЧАТ'!E12</f>
        <v>0</v>
      </c>
      <c r="J19" s="48">
        <v>0</v>
      </c>
    </row>
    <row r="20" spans="1:10" x14ac:dyDescent="0.2">
      <c r="A20" s="162"/>
      <c r="B20" s="182" t="s">
        <v>629</v>
      </c>
      <c r="C20" s="161" t="s">
        <v>593</v>
      </c>
      <c r="D20" s="160" t="s">
        <v>1</v>
      </c>
      <c r="E20" s="213"/>
      <c r="F20" s="213"/>
      <c r="G20" s="159"/>
      <c r="H20" s="159"/>
      <c r="I20" s="159"/>
      <c r="J20" s="159"/>
    </row>
    <row r="21" spans="1:10" ht="24.75" customHeight="1" x14ac:dyDescent="0.2">
      <c r="A21" s="37" t="s">
        <v>363</v>
      </c>
      <c r="B21" s="38" t="s">
        <v>347</v>
      </c>
      <c r="C21" s="60" t="s">
        <v>380</v>
      </c>
      <c r="D21" s="37" t="s">
        <v>1</v>
      </c>
      <c r="E21" s="217"/>
      <c r="F21" s="217"/>
      <c r="G21" s="48">
        <v>0</v>
      </c>
      <c r="H21" s="48">
        <v>0</v>
      </c>
      <c r="I21" s="48">
        <v>0</v>
      </c>
      <c r="J21" s="48">
        <v>0</v>
      </c>
    </row>
    <row r="22" spans="1:10" ht="28.5" customHeight="1" x14ac:dyDescent="0.2">
      <c r="A22" s="37" t="s">
        <v>364</v>
      </c>
      <c r="B22" s="38" t="s">
        <v>348</v>
      </c>
      <c r="C22" s="60" t="s">
        <v>381</v>
      </c>
      <c r="D22" s="37" t="s">
        <v>1</v>
      </c>
      <c r="E22" s="217"/>
      <c r="F22" s="217"/>
      <c r="G22" s="48">
        <v>0</v>
      </c>
      <c r="H22" s="48">
        <v>0</v>
      </c>
      <c r="I22" s="48">
        <v>0</v>
      </c>
      <c r="J22" s="48">
        <v>0</v>
      </c>
    </row>
    <row r="23" spans="1:10" x14ac:dyDescent="0.2">
      <c r="A23" s="162"/>
      <c r="B23" s="182" t="s">
        <v>626</v>
      </c>
      <c r="C23" s="216" t="s">
        <v>594</v>
      </c>
      <c r="D23" s="213" t="s">
        <v>1</v>
      </c>
      <c r="E23" s="213"/>
      <c r="F23" s="213"/>
      <c r="G23" s="159"/>
      <c r="H23" s="159"/>
      <c r="I23" s="159"/>
      <c r="J23" s="159"/>
    </row>
    <row r="24" spans="1:10" x14ac:dyDescent="0.2">
      <c r="A24" s="217"/>
      <c r="B24" s="182" t="s">
        <v>628</v>
      </c>
      <c r="C24" s="216" t="s">
        <v>630</v>
      </c>
      <c r="D24" s="213" t="s">
        <v>1</v>
      </c>
      <c r="E24" s="213"/>
      <c r="F24" s="213"/>
      <c r="G24" s="212"/>
      <c r="H24" s="212"/>
      <c r="I24" s="212"/>
      <c r="J24" s="212"/>
    </row>
    <row r="25" spans="1:10" ht="27" customHeight="1" x14ac:dyDescent="0.2">
      <c r="A25" s="37" t="s">
        <v>365</v>
      </c>
      <c r="B25" s="38" t="s">
        <v>349</v>
      </c>
      <c r="C25" s="60" t="s">
        <v>382</v>
      </c>
      <c r="D25" s="37" t="s">
        <v>1</v>
      </c>
      <c r="E25" s="217"/>
      <c r="F25" s="217"/>
      <c r="G25" s="48">
        <f>G29</f>
        <v>2872200.0013600001</v>
      </c>
      <c r="H25" s="195">
        <f t="shared" ref="H25:I25" si="1">H29</f>
        <v>2872200.0013600001</v>
      </c>
      <c r="I25" s="195">
        <f t="shared" si="1"/>
        <v>2872200.0013600001</v>
      </c>
      <c r="J25" s="48">
        <v>0</v>
      </c>
    </row>
    <row r="26" spans="1:10" ht="25.5" x14ac:dyDescent="0.2">
      <c r="A26" s="37" t="s">
        <v>366</v>
      </c>
      <c r="B26" s="38" t="s">
        <v>346</v>
      </c>
      <c r="C26" s="60" t="s">
        <v>383</v>
      </c>
      <c r="D26" s="37" t="s">
        <v>1</v>
      </c>
      <c r="E26" s="217"/>
      <c r="F26" s="217"/>
      <c r="G26" s="48">
        <v>0</v>
      </c>
      <c r="H26" s="48">
        <v>0</v>
      </c>
      <c r="I26" s="48">
        <v>0</v>
      </c>
      <c r="J26" s="48">
        <v>0</v>
      </c>
    </row>
    <row r="27" spans="1:10" x14ac:dyDescent="0.2">
      <c r="A27" s="162"/>
      <c r="B27" s="182" t="s">
        <v>626</v>
      </c>
      <c r="C27" s="161" t="s">
        <v>595</v>
      </c>
      <c r="D27" s="160" t="s">
        <v>1</v>
      </c>
      <c r="E27" s="213"/>
      <c r="F27" s="213"/>
      <c r="G27" s="159"/>
      <c r="H27" s="159"/>
      <c r="I27" s="159"/>
      <c r="J27" s="159"/>
    </row>
    <row r="28" spans="1:10" x14ac:dyDescent="0.2">
      <c r="A28" s="217"/>
      <c r="B28" s="182" t="s">
        <v>628</v>
      </c>
      <c r="C28" s="216" t="s">
        <v>631</v>
      </c>
      <c r="D28" s="213"/>
      <c r="E28" s="213"/>
      <c r="F28" s="213"/>
      <c r="G28" s="212"/>
      <c r="H28" s="212"/>
      <c r="I28" s="212"/>
      <c r="J28" s="212"/>
    </row>
    <row r="29" spans="1:10" ht="25.5" customHeight="1" x14ac:dyDescent="0.2">
      <c r="A29" s="37" t="s">
        <v>367</v>
      </c>
      <c r="B29" s="38" t="s">
        <v>347</v>
      </c>
      <c r="C29" s="60" t="s">
        <v>384</v>
      </c>
      <c r="D29" s="37" t="s">
        <v>1</v>
      </c>
      <c r="E29" s="217"/>
      <c r="F29" s="217"/>
      <c r="G29" s="48">
        <f>'244(2)'!C11-'244(2)'!C9</f>
        <v>2872200.0013600001</v>
      </c>
      <c r="H29" s="48">
        <f>'244(2)'!D11</f>
        <v>2872200.0013600001</v>
      </c>
      <c r="I29" s="48">
        <f>'244(2)'!E11</f>
        <v>2872200.0013600001</v>
      </c>
      <c r="J29" s="48">
        <v>0</v>
      </c>
    </row>
    <row r="30" spans="1:10" ht="53.25" customHeight="1" x14ac:dyDescent="0.2">
      <c r="A30" s="37" t="s">
        <v>368</v>
      </c>
      <c r="B30" s="38" t="s">
        <v>350</v>
      </c>
      <c r="C30" s="60" t="s">
        <v>385</v>
      </c>
      <c r="D30" s="37" t="s">
        <v>1</v>
      </c>
      <c r="E30" s="217"/>
      <c r="F30" s="217"/>
      <c r="G30" s="48">
        <f>G31</f>
        <v>7512035.9989700001</v>
      </c>
      <c r="H30" s="48">
        <f>H31</f>
        <v>7523486.9989700001</v>
      </c>
      <c r="I30" s="48">
        <f>I31</f>
        <v>7343884.9989700001</v>
      </c>
      <c r="J30" s="48">
        <v>0</v>
      </c>
    </row>
    <row r="31" spans="1:10" ht="15" customHeight="1" x14ac:dyDescent="0.2">
      <c r="A31" s="39"/>
      <c r="B31" s="36" t="s">
        <v>351</v>
      </c>
      <c r="C31" s="60" t="s">
        <v>386</v>
      </c>
      <c r="D31" s="40"/>
      <c r="E31" s="40"/>
      <c r="F31" s="40"/>
      <c r="G31" s="48">
        <f>G19+G16</f>
        <v>7512035.9989700001</v>
      </c>
      <c r="H31" s="198">
        <f>H19+H16</f>
        <v>7523486.9989700001</v>
      </c>
      <c r="I31" s="198">
        <f>I19+I16</f>
        <v>7343884.9989700001</v>
      </c>
      <c r="J31" s="48">
        <v>0</v>
      </c>
    </row>
    <row r="32" spans="1:10" ht="59.25" customHeight="1" x14ac:dyDescent="0.2">
      <c r="A32" s="37" t="s">
        <v>369</v>
      </c>
      <c r="B32" s="38" t="s">
        <v>352</v>
      </c>
      <c r="C32" s="60" t="s">
        <v>387</v>
      </c>
      <c r="D32" s="37" t="s">
        <v>1</v>
      </c>
      <c r="E32" s="217"/>
      <c r="F32" s="217"/>
      <c r="G32" s="48">
        <f>G29</f>
        <v>2872200.0013600001</v>
      </c>
      <c r="H32" s="198">
        <f t="shared" ref="H32:I32" si="2">H29</f>
        <v>2872200.0013600001</v>
      </c>
      <c r="I32" s="198">
        <f t="shared" si="2"/>
        <v>2872200.0013600001</v>
      </c>
      <c r="J32" s="48">
        <v>0</v>
      </c>
    </row>
    <row r="33" spans="1:10" ht="17.25" customHeight="1" x14ac:dyDescent="0.2">
      <c r="A33" s="39"/>
      <c r="B33" s="36" t="s">
        <v>351</v>
      </c>
      <c r="C33" s="60" t="s">
        <v>388</v>
      </c>
      <c r="D33" s="40"/>
      <c r="E33" s="40"/>
      <c r="F33" s="40"/>
      <c r="G33" s="48">
        <v>0</v>
      </c>
      <c r="H33" s="48">
        <v>0</v>
      </c>
      <c r="I33" s="48">
        <v>0</v>
      </c>
      <c r="J33" s="48">
        <v>0</v>
      </c>
    </row>
    <row r="34" spans="1:10" ht="44.25" customHeight="1" x14ac:dyDescent="0.2">
      <c r="A34" s="301" t="s">
        <v>596</v>
      </c>
      <c r="B34" s="301"/>
      <c r="C34" s="301"/>
      <c r="D34" s="301"/>
      <c r="E34" s="301"/>
      <c r="F34" s="301"/>
      <c r="G34" s="301"/>
      <c r="H34" s="301"/>
      <c r="I34" s="301"/>
      <c r="J34" s="301"/>
    </row>
    <row r="35" spans="1:10" x14ac:dyDescent="0.2">
      <c r="A35" s="73"/>
      <c r="B35" s="73"/>
      <c r="C35" s="73"/>
      <c r="D35" s="73"/>
      <c r="E35" s="73"/>
      <c r="F35" s="73"/>
      <c r="G35" s="73"/>
      <c r="H35" s="73"/>
      <c r="I35" s="73"/>
      <c r="J35" s="73"/>
    </row>
    <row r="36" spans="1:10" ht="15.75" customHeight="1" x14ac:dyDescent="0.2">
      <c r="A36" s="24" t="s">
        <v>637</v>
      </c>
      <c r="B36" s="24"/>
      <c r="C36" s="24"/>
      <c r="D36" s="24"/>
      <c r="E36" s="24"/>
      <c r="F36" s="24"/>
      <c r="G36" s="24"/>
      <c r="H36" s="24"/>
      <c r="I36" s="24"/>
      <c r="J36" s="24"/>
    </row>
    <row r="37" spans="1:10" ht="15.75" customHeight="1" x14ac:dyDescent="0.2">
      <c r="A37" s="24" t="s">
        <v>403</v>
      </c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">
      <c r="A38" s="24" t="s">
        <v>404</v>
      </c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">
      <c r="A40" s="84" t="s">
        <v>406</v>
      </c>
      <c r="B40" s="84"/>
      <c r="C40" s="84"/>
      <c r="D40" s="84"/>
      <c r="E40" s="214"/>
      <c r="F40" s="214"/>
      <c r="G40" s="84"/>
      <c r="H40" s="84"/>
      <c r="I40" s="84"/>
      <c r="J40" s="84"/>
    </row>
    <row r="41" spans="1:10" x14ac:dyDescent="0.2">
      <c r="A41" s="293" t="s">
        <v>405</v>
      </c>
      <c r="B41" s="293"/>
      <c r="C41" s="293"/>
      <c r="D41" s="293"/>
      <c r="E41" s="293"/>
      <c r="F41" s="293"/>
      <c r="G41" s="293"/>
      <c r="H41" s="293"/>
      <c r="I41" s="293"/>
      <c r="J41" s="293"/>
    </row>
    <row r="42" spans="1:10" x14ac:dyDescent="0.2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">
      <c r="A43" s="24" t="s">
        <v>638</v>
      </c>
      <c r="B43" s="1"/>
      <c r="C43" s="1"/>
      <c r="D43" s="1"/>
      <c r="E43" s="1"/>
      <c r="F43" s="1"/>
      <c r="G43" s="1"/>
      <c r="H43" s="1"/>
      <c r="I43" s="1"/>
      <c r="J43" s="1"/>
    </row>
    <row r="44" spans="1:10" ht="13.5" thickBo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">
      <c r="A45" s="74" t="s">
        <v>400</v>
      </c>
      <c r="B45" s="75"/>
      <c r="C45" s="75"/>
      <c r="D45" s="76"/>
      <c r="E45" s="78"/>
      <c r="F45" s="78"/>
      <c r="G45" s="1"/>
      <c r="H45" s="1"/>
      <c r="I45" s="1"/>
      <c r="J45" s="1"/>
    </row>
    <row r="46" spans="1:10" x14ac:dyDescent="0.2">
      <c r="A46" s="290" t="s">
        <v>610</v>
      </c>
      <c r="B46" s="291"/>
      <c r="C46" s="291"/>
      <c r="D46" s="292"/>
      <c r="E46" s="215"/>
      <c r="F46" s="215"/>
      <c r="G46" s="1"/>
      <c r="H46" s="1"/>
      <c r="I46" s="1"/>
      <c r="J46" s="1"/>
    </row>
    <row r="47" spans="1:10" x14ac:dyDescent="0.2">
      <c r="A47" s="77" t="s">
        <v>401</v>
      </c>
      <c r="B47" s="78"/>
      <c r="C47" s="78"/>
      <c r="D47" s="79"/>
      <c r="E47" s="78"/>
      <c r="F47" s="78"/>
      <c r="G47" s="1"/>
      <c r="H47" s="1"/>
      <c r="I47" s="1"/>
      <c r="J47" s="1"/>
    </row>
    <row r="48" spans="1:10" x14ac:dyDescent="0.2">
      <c r="A48" s="294" t="s">
        <v>640</v>
      </c>
      <c r="B48" s="295"/>
      <c r="C48" s="295"/>
      <c r="D48" s="296"/>
      <c r="E48" s="215"/>
      <c r="F48" s="215"/>
      <c r="G48" s="1"/>
      <c r="H48" s="1"/>
      <c r="I48" s="1"/>
      <c r="J48" s="1"/>
    </row>
    <row r="49" spans="1:10" x14ac:dyDescent="0.2">
      <c r="A49" s="77" t="s">
        <v>402</v>
      </c>
      <c r="B49" s="80"/>
      <c r="C49" s="78"/>
      <c r="D49" s="79"/>
      <c r="E49" s="78"/>
      <c r="F49" s="78"/>
      <c r="G49" s="1"/>
      <c r="H49" s="1"/>
      <c r="I49" s="1"/>
      <c r="J49" s="1"/>
    </row>
    <row r="50" spans="1:10" ht="13.5" thickBot="1" x14ac:dyDescent="0.25">
      <c r="A50" s="81" t="s">
        <v>639</v>
      </c>
      <c r="B50" s="82"/>
      <c r="C50" s="82"/>
      <c r="D50" s="83"/>
      <c r="E50" s="78"/>
      <c r="F50" s="78"/>
      <c r="G50" s="1"/>
      <c r="H50" s="1"/>
      <c r="I50" s="1"/>
      <c r="J50" s="1"/>
    </row>
    <row r="51" spans="1:10" x14ac:dyDescent="0.2">
      <c r="A51" s="24"/>
      <c r="B51" s="78"/>
      <c r="C51" s="78"/>
      <c r="D51" s="78"/>
      <c r="E51" s="78"/>
      <c r="F51" s="78"/>
      <c r="G51" s="1"/>
      <c r="H51" s="1"/>
      <c r="I51" s="1"/>
      <c r="J51" s="1"/>
    </row>
    <row r="52" spans="1:10" x14ac:dyDescent="0.2">
      <c r="A52" s="1"/>
      <c r="B52" s="1"/>
      <c r="C52" s="1"/>
      <c r="D52" s="1"/>
      <c r="E52" s="1"/>
      <c r="F52" s="1"/>
      <c r="G52" s="1"/>
      <c r="H52" s="1"/>
      <c r="I52" s="1"/>
      <c r="J52" s="1"/>
    </row>
  </sheetData>
  <mergeCells count="13">
    <mergeCell ref="A46:D46"/>
    <mergeCell ref="A41:J41"/>
    <mergeCell ref="A48:D48"/>
    <mergeCell ref="A1:J1"/>
    <mergeCell ref="A2:A4"/>
    <mergeCell ref="B2:B4"/>
    <mergeCell ref="C2:C4"/>
    <mergeCell ref="D2:D4"/>
    <mergeCell ref="G2:J2"/>
    <mergeCell ref="J3:J4"/>
    <mergeCell ref="A34:J34"/>
    <mergeCell ref="E2:E4"/>
    <mergeCell ref="F2:F4"/>
  </mergeCells>
  <phoneticPr fontId="17" type="noConversion"/>
  <pageMargins left="0.39370078740157483" right="0.19685039370078741" top="0.39370078740157483" bottom="0.19685039370078741" header="0.31496062992125984" footer="0.31496062992125984"/>
  <pageSetup paperSize="9" fitToHeight="0" orientation="landscape" r:id="rId1"/>
  <rowBreaks count="1" manualBreakCount="1">
    <brk id="3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92D050"/>
    <pageSetUpPr fitToPage="1"/>
  </sheetPr>
  <dimension ref="A1:V218"/>
  <sheetViews>
    <sheetView view="pageBreakPreview" topLeftCell="A82" zoomScaleSheetLayoutView="100" workbookViewId="0">
      <selection activeCell="E91" sqref="E91"/>
    </sheetView>
  </sheetViews>
  <sheetFormatPr defaultRowHeight="15.75" x14ac:dyDescent="0.25"/>
  <cols>
    <col min="1" max="1" width="34.5703125" style="1" customWidth="1"/>
    <col min="2" max="2" width="9" style="11" customWidth="1"/>
    <col min="3" max="3" width="13.140625" style="11" customWidth="1"/>
    <col min="4" max="4" width="13.5703125" style="11" customWidth="1"/>
    <col min="5" max="5" width="12.85546875" style="11" customWidth="1"/>
    <col min="6" max="6" width="11.42578125" style="11" customWidth="1"/>
    <col min="7" max="7" width="10.85546875" style="11" customWidth="1"/>
    <col min="8" max="8" width="10.7109375" style="11" customWidth="1"/>
    <col min="9" max="9" width="13.42578125" style="11" customWidth="1"/>
    <col min="10" max="10" width="13" style="11" customWidth="1"/>
    <col min="11" max="11" width="13.140625" style="11" customWidth="1"/>
    <col min="12" max="12" width="13" style="11" customWidth="1"/>
    <col min="13" max="22" width="9.140625" style="11"/>
    <col min="23" max="16384" width="9.140625" style="1"/>
  </cols>
  <sheetData>
    <row r="1" spans="1:12" ht="18" customHeight="1" x14ac:dyDescent="0.25">
      <c r="A1" s="319" t="s">
        <v>6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57"/>
    </row>
    <row r="2" spans="1:12" x14ac:dyDescent="0.25"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ht="17.25" customHeight="1" x14ac:dyDescent="0.25">
      <c r="A3" s="310" t="s">
        <v>407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85"/>
    </row>
    <row r="4" spans="1:12" x14ac:dyDescent="0.25"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2" ht="16.5" customHeight="1" x14ac:dyDescent="0.25">
      <c r="A5" s="310" t="s">
        <v>408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85"/>
    </row>
    <row r="6" spans="1:12" hidden="1" x14ac:dyDescent="0.25"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2" hidden="1" x14ac:dyDescent="0.25">
      <c r="A7" s="283" t="s">
        <v>193</v>
      </c>
      <c r="B7" s="305" t="s">
        <v>72</v>
      </c>
      <c r="C7" s="306" t="s">
        <v>43</v>
      </c>
      <c r="D7" s="306"/>
      <c r="E7" s="306"/>
      <c r="F7" s="85"/>
      <c r="G7" s="85"/>
      <c r="H7" s="85"/>
      <c r="I7" s="85"/>
      <c r="J7" s="85"/>
      <c r="K7" s="85"/>
      <c r="L7" s="85"/>
    </row>
    <row r="8" spans="1:12" hidden="1" x14ac:dyDescent="0.25">
      <c r="A8" s="283"/>
      <c r="B8" s="305"/>
      <c r="C8" s="48" t="s">
        <v>7</v>
      </c>
      <c r="D8" s="48" t="s">
        <v>8</v>
      </c>
      <c r="E8" s="48" t="s">
        <v>9</v>
      </c>
      <c r="F8" s="85"/>
      <c r="G8" s="85"/>
      <c r="H8" s="85"/>
      <c r="I8" s="85"/>
      <c r="J8" s="85"/>
      <c r="K8" s="85"/>
      <c r="L8" s="85"/>
    </row>
    <row r="9" spans="1:12" ht="38.25" hidden="1" x14ac:dyDescent="0.25">
      <c r="A9" s="283"/>
      <c r="B9" s="305"/>
      <c r="C9" s="50" t="s">
        <v>44</v>
      </c>
      <c r="D9" s="50" t="s">
        <v>45</v>
      </c>
      <c r="E9" s="50" t="s">
        <v>46</v>
      </c>
      <c r="F9" s="85"/>
      <c r="G9" s="85"/>
      <c r="H9" s="85"/>
      <c r="I9" s="85"/>
      <c r="J9" s="85"/>
      <c r="K9" s="85"/>
      <c r="L9" s="85"/>
    </row>
    <row r="10" spans="1:12" hidden="1" x14ac:dyDescent="0.25">
      <c r="A10" s="51" t="s">
        <v>190</v>
      </c>
      <c r="B10" s="48" t="s">
        <v>73</v>
      </c>
      <c r="C10" s="48" t="s">
        <v>47</v>
      </c>
      <c r="D10" s="48" t="s">
        <v>48</v>
      </c>
      <c r="E10" s="48" t="s">
        <v>49</v>
      </c>
      <c r="F10" s="85"/>
      <c r="G10" s="85"/>
      <c r="H10" s="85"/>
      <c r="I10" s="85"/>
      <c r="J10" s="85"/>
      <c r="K10" s="85"/>
      <c r="L10" s="85"/>
    </row>
    <row r="11" spans="1:12" ht="75.75" hidden="1" customHeight="1" x14ac:dyDescent="0.25">
      <c r="A11" s="3" t="s">
        <v>409</v>
      </c>
      <c r="B11" s="86" t="s">
        <v>74</v>
      </c>
      <c r="C11" s="87"/>
      <c r="D11" s="87"/>
      <c r="E11" s="39"/>
      <c r="F11" s="85"/>
      <c r="G11" s="85"/>
      <c r="H11" s="85"/>
      <c r="I11" s="85"/>
      <c r="J11" s="85"/>
      <c r="K11" s="85"/>
      <c r="L11" s="85"/>
    </row>
    <row r="12" spans="1:12" ht="101.25" hidden="1" customHeight="1" x14ac:dyDescent="0.25">
      <c r="A12" s="4" t="s">
        <v>410</v>
      </c>
      <c r="B12" s="48" t="s">
        <v>75</v>
      </c>
      <c r="C12" s="87"/>
      <c r="D12" s="87"/>
      <c r="E12" s="39"/>
      <c r="F12" s="85"/>
      <c r="G12" s="85"/>
      <c r="H12" s="85"/>
      <c r="I12" s="85"/>
      <c r="J12" s="85"/>
      <c r="K12" s="85"/>
      <c r="L12" s="85"/>
    </row>
    <row r="13" spans="1:12" hidden="1" x14ac:dyDescent="0.25">
      <c r="A13" s="3" t="s">
        <v>411</v>
      </c>
      <c r="B13" s="86" t="s">
        <v>76</v>
      </c>
      <c r="C13" s="87"/>
      <c r="D13" s="87"/>
      <c r="E13" s="39"/>
      <c r="F13" s="85"/>
      <c r="G13" s="85"/>
      <c r="H13" s="85"/>
      <c r="I13" s="85"/>
      <c r="J13" s="85"/>
      <c r="K13" s="85"/>
      <c r="L13" s="85"/>
    </row>
    <row r="14" spans="1:12" ht="51" hidden="1" x14ac:dyDescent="0.25">
      <c r="A14" s="3" t="s">
        <v>245</v>
      </c>
      <c r="B14" s="37" t="s">
        <v>77</v>
      </c>
      <c r="C14" s="87"/>
      <c r="D14" s="87"/>
      <c r="E14" s="39"/>
      <c r="F14" s="85"/>
      <c r="G14" s="85"/>
      <c r="H14" s="85"/>
      <c r="I14" s="85"/>
      <c r="J14" s="85"/>
      <c r="K14" s="85"/>
      <c r="L14" s="85"/>
    </row>
    <row r="15" spans="1:12" ht="25.5" hidden="1" x14ac:dyDescent="0.25">
      <c r="A15" s="3" t="s">
        <v>412</v>
      </c>
      <c r="B15" s="48" t="s">
        <v>78</v>
      </c>
      <c r="C15" s="36"/>
      <c r="D15" s="36"/>
      <c r="E15" s="36"/>
      <c r="F15" s="85"/>
      <c r="G15" s="85"/>
      <c r="H15" s="85"/>
      <c r="I15" s="85"/>
      <c r="J15" s="85"/>
      <c r="K15" s="85"/>
      <c r="L15" s="85"/>
    </row>
    <row r="16" spans="1:12" ht="38.25" hidden="1" x14ac:dyDescent="0.25">
      <c r="A16" s="4" t="s">
        <v>246</v>
      </c>
      <c r="B16" s="48" t="s">
        <v>79</v>
      </c>
      <c r="C16" s="36"/>
      <c r="D16" s="36"/>
      <c r="E16" s="36"/>
      <c r="F16" s="85"/>
      <c r="G16" s="85"/>
      <c r="H16" s="85"/>
      <c r="I16" s="85"/>
      <c r="J16" s="85"/>
      <c r="K16" s="85"/>
      <c r="L16" s="85"/>
    </row>
    <row r="17" spans="1:12" ht="38.25" hidden="1" x14ac:dyDescent="0.25">
      <c r="A17" s="3" t="s">
        <v>413</v>
      </c>
      <c r="B17" s="48" t="s">
        <v>80</v>
      </c>
      <c r="C17" s="36"/>
      <c r="D17" s="36"/>
      <c r="E17" s="36"/>
      <c r="F17" s="85"/>
      <c r="G17" s="85"/>
      <c r="H17" s="85"/>
      <c r="I17" s="85"/>
      <c r="J17" s="85"/>
      <c r="K17" s="85"/>
      <c r="L17" s="85"/>
    </row>
    <row r="18" spans="1:12" ht="25.5" hidden="1" x14ac:dyDescent="0.25">
      <c r="A18" s="3" t="s">
        <v>414</v>
      </c>
      <c r="B18" s="48" t="s">
        <v>81</v>
      </c>
      <c r="C18" s="36"/>
      <c r="D18" s="36"/>
      <c r="E18" s="36"/>
      <c r="F18" s="85"/>
      <c r="G18" s="85"/>
      <c r="H18" s="85"/>
      <c r="I18" s="85"/>
      <c r="J18" s="85"/>
      <c r="K18" s="85"/>
      <c r="L18" s="85"/>
    </row>
    <row r="19" spans="1:12" hidden="1" x14ac:dyDescent="0.25">
      <c r="A19" s="55" t="s">
        <v>415</v>
      </c>
      <c r="B19" s="86" t="s">
        <v>82</v>
      </c>
      <c r="C19" s="36"/>
      <c r="D19" s="36"/>
      <c r="E19" s="36"/>
      <c r="F19" s="85"/>
      <c r="G19" s="85"/>
      <c r="H19" s="85"/>
      <c r="I19" s="85"/>
      <c r="J19" s="85"/>
      <c r="K19" s="85"/>
      <c r="L19" s="85"/>
    </row>
    <row r="20" spans="1:12" ht="63.75" hidden="1" x14ac:dyDescent="0.25">
      <c r="A20" s="3" t="s">
        <v>416</v>
      </c>
      <c r="B20" s="37" t="s">
        <v>83</v>
      </c>
      <c r="C20" s="36"/>
      <c r="D20" s="36"/>
      <c r="E20" s="36"/>
      <c r="F20" s="85"/>
      <c r="G20" s="85"/>
      <c r="H20" s="85"/>
      <c r="I20" s="85"/>
      <c r="J20" s="85"/>
      <c r="K20" s="85"/>
      <c r="L20" s="85"/>
    </row>
    <row r="21" spans="1:12" ht="51" hidden="1" x14ac:dyDescent="0.25">
      <c r="A21" s="4" t="s">
        <v>417</v>
      </c>
      <c r="B21" s="48" t="s">
        <v>84</v>
      </c>
      <c r="C21" s="36"/>
      <c r="D21" s="36"/>
      <c r="E21" s="36"/>
      <c r="F21" s="85"/>
      <c r="G21" s="85"/>
      <c r="H21" s="85"/>
      <c r="I21" s="85"/>
      <c r="J21" s="85"/>
      <c r="K21" s="85"/>
      <c r="L21" s="85"/>
    </row>
    <row r="22" spans="1:12" ht="38.25" hidden="1" x14ac:dyDescent="0.25">
      <c r="A22" s="4" t="s">
        <v>418</v>
      </c>
      <c r="B22" s="37" t="s">
        <v>85</v>
      </c>
      <c r="C22" s="36"/>
      <c r="D22" s="36"/>
      <c r="E22" s="36"/>
      <c r="F22" s="85"/>
      <c r="G22" s="85"/>
      <c r="H22" s="85"/>
      <c r="I22" s="85"/>
      <c r="J22" s="85"/>
      <c r="K22" s="85"/>
      <c r="L22" s="85"/>
    </row>
    <row r="23" spans="1:12" ht="39" hidden="1" x14ac:dyDescent="0.25">
      <c r="A23" s="7" t="s">
        <v>419</v>
      </c>
      <c r="B23" s="86" t="s">
        <v>86</v>
      </c>
      <c r="C23" s="36"/>
      <c r="D23" s="36"/>
      <c r="E23" s="36"/>
      <c r="F23" s="85"/>
      <c r="G23" s="85"/>
      <c r="H23" s="85"/>
      <c r="I23" s="85"/>
      <c r="J23" s="85"/>
      <c r="K23" s="85"/>
      <c r="L23" s="85"/>
    </row>
    <row r="24" spans="1:12" ht="51.75" hidden="1" x14ac:dyDescent="0.25">
      <c r="A24" s="7" t="s">
        <v>420</v>
      </c>
      <c r="B24" s="48" t="s">
        <v>87</v>
      </c>
      <c r="C24" s="36"/>
      <c r="D24" s="36"/>
      <c r="E24" s="36"/>
      <c r="F24" s="85"/>
      <c r="G24" s="85"/>
      <c r="H24" s="85"/>
      <c r="I24" s="85"/>
      <c r="J24" s="85"/>
      <c r="K24" s="85"/>
      <c r="L24" s="85"/>
    </row>
    <row r="25" spans="1:12" ht="38.25" hidden="1" x14ac:dyDescent="0.25">
      <c r="A25" s="3" t="s">
        <v>421</v>
      </c>
      <c r="B25" s="48" t="s">
        <v>88</v>
      </c>
      <c r="C25" s="36"/>
      <c r="D25" s="36"/>
      <c r="E25" s="36"/>
      <c r="F25" s="85"/>
      <c r="G25" s="85"/>
      <c r="H25" s="85"/>
      <c r="I25" s="85"/>
      <c r="J25" s="85"/>
      <c r="K25" s="85"/>
      <c r="L25" s="85"/>
    </row>
    <row r="26" spans="1:12" ht="9.75" customHeight="1" x14ac:dyDescent="0.25"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</row>
    <row r="27" spans="1:12" ht="13.5" customHeight="1" x14ac:dyDescent="0.25">
      <c r="A27" s="321" t="s">
        <v>422</v>
      </c>
      <c r="B27" s="322"/>
      <c r="C27" s="322"/>
      <c r="D27" s="322"/>
      <c r="E27" s="322"/>
      <c r="F27" s="322"/>
      <c r="G27" s="322"/>
      <c r="H27" s="322"/>
      <c r="I27" s="322"/>
      <c r="J27" s="322"/>
      <c r="K27" s="322"/>
      <c r="L27" s="85"/>
    </row>
    <row r="28" spans="1:12" hidden="1" x14ac:dyDescent="0.25"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</row>
    <row r="29" spans="1:12" ht="38.25" hidden="1" customHeight="1" x14ac:dyDescent="0.25">
      <c r="A29" s="269" t="s">
        <v>423</v>
      </c>
      <c r="B29" s="307" t="s">
        <v>72</v>
      </c>
      <c r="C29" s="307" t="s">
        <v>50</v>
      </c>
      <c r="D29" s="307"/>
      <c r="E29" s="307"/>
      <c r="F29" s="308" t="s">
        <v>89</v>
      </c>
      <c r="G29" s="308"/>
      <c r="H29" s="308"/>
      <c r="I29" s="307" t="s">
        <v>90</v>
      </c>
      <c r="J29" s="307"/>
      <c r="K29" s="307"/>
      <c r="L29" s="85"/>
    </row>
    <row r="30" spans="1:12" hidden="1" x14ac:dyDescent="0.25">
      <c r="A30" s="269"/>
      <c r="B30" s="307"/>
      <c r="C30" s="48" t="s">
        <v>51</v>
      </c>
      <c r="D30" s="48" t="s">
        <v>51</v>
      </c>
      <c r="E30" s="48" t="s">
        <v>51</v>
      </c>
      <c r="F30" s="48" t="s">
        <v>51</v>
      </c>
      <c r="G30" s="48" t="s">
        <v>51</v>
      </c>
      <c r="H30" s="48" t="s">
        <v>51</v>
      </c>
      <c r="I30" s="48" t="s">
        <v>51</v>
      </c>
      <c r="J30" s="48" t="s">
        <v>51</v>
      </c>
      <c r="K30" s="48" t="s">
        <v>51</v>
      </c>
      <c r="L30" s="85"/>
    </row>
    <row r="31" spans="1:12" ht="38.25" hidden="1" x14ac:dyDescent="0.25">
      <c r="A31" s="269"/>
      <c r="B31" s="307"/>
      <c r="C31" s="49" t="s">
        <v>44</v>
      </c>
      <c r="D31" s="50" t="s">
        <v>45</v>
      </c>
      <c r="E31" s="49" t="s">
        <v>46</v>
      </c>
      <c r="F31" s="49" t="s">
        <v>44</v>
      </c>
      <c r="G31" s="50" t="s">
        <v>45</v>
      </c>
      <c r="H31" s="49" t="s">
        <v>46</v>
      </c>
      <c r="I31" s="49" t="s">
        <v>44</v>
      </c>
      <c r="J31" s="50" t="s">
        <v>45</v>
      </c>
      <c r="K31" s="50" t="s">
        <v>46</v>
      </c>
      <c r="L31" s="85"/>
    </row>
    <row r="32" spans="1:12" hidden="1" x14ac:dyDescent="0.25">
      <c r="A32" s="51" t="s">
        <v>190</v>
      </c>
      <c r="B32" s="48" t="s">
        <v>73</v>
      </c>
      <c r="C32" s="48" t="s">
        <v>47</v>
      </c>
      <c r="D32" s="48" t="s">
        <v>48</v>
      </c>
      <c r="E32" s="48" t="s">
        <v>49</v>
      </c>
      <c r="F32" s="48" t="s">
        <v>52</v>
      </c>
      <c r="G32" s="48" t="s">
        <v>53</v>
      </c>
      <c r="H32" s="48" t="s">
        <v>91</v>
      </c>
      <c r="I32" s="48" t="s">
        <v>92</v>
      </c>
      <c r="J32" s="48" t="s">
        <v>93</v>
      </c>
      <c r="K32" s="48" t="s">
        <v>94</v>
      </c>
      <c r="L32" s="85"/>
    </row>
    <row r="33" spans="1:12" ht="49.5" hidden="1" customHeight="1" x14ac:dyDescent="0.25">
      <c r="A33" s="3" t="s">
        <v>424</v>
      </c>
      <c r="B33" s="37" t="s">
        <v>74</v>
      </c>
      <c r="C33" s="37" t="s">
        <v>1</v>
      </c>
      <c r="D33" s="37" t="s">
        <v>1</v>
      </c>
      <c r="E33" s="37" t="s">
        <v>1</v>
      </c>
      <c r="F33" s="37" t="s">
        <v>1</v>
      </c>
      <c r="G33" s="37" t="s">
        <v>1</v>
      </c>
      <c r="H33" s="37" t="s">
        <v>1</v>
      </c>
      <c r="I33" s="36"/>
      <c r="J33" s="36"/>
      <c r="K33" s="36"/>
      <c r="L33" s="85"/>
    </row>
    <row r="34" spans="1:12" hidden="1" x14ac:dyDescent="0.25">
      <c r="A34" s="55" t="s">
        <v>425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85"/>
    </row>
    <row r="35" spans="1:12" ht="40.5" hidden="1" customHeight="1" x14ac:dyDescent="0.25">
      <c r="A35" s="3" t="s">
        <v>426</v>
      </c>
      <c r="B35" s="37" t="s">
        <v>75</v>
      </c>
      <c r="C35" s="37" t="s">
        <v>1</v>
      </c>
      <c r="D35" s="37" t="s">
        <v>1</v>
      </c>
      <c r="E35" s="37" t="s">
        <v>1</v>
      </c>
      <c r="F35" s="37" t="s">
        <v>1</v>
      </c>
      <c r="G35" s="37" t="s">
        <v>1</v>
      </c>
      <c r="H35" s="37" t="s">
        <v>1</v>
      </c>
      <c r="I35" s="36"/>
      <c r="J35" s="36"/>
      <c r="K35" s="36"/>
      <c r="L35" s="85"/>
    </row>
    <row r="36" spans="1:12" hidden="1" x14ac:dyDescent="0.25">
      <c r="A36" s="55" t="s">
        <v>425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85"/>
    </row>
    <row r="37" spans="1:12" hidden="1" x14ac:dyDescent="0.25">
      <c r="A37" s="55" t="s">
        <v>427</v>
      </c>
      <c r="B37" s="48" t="s">
        <v>95</v>
      </c>
      <c r="C37" s="48" t="s">
        <v>1</v>
      </c>
      <c r="D37" s="48" t="s">
        <v>1</v>
      </c>
      <c r="E37" s="48" t="s">
        <v>1</v>
      </c>
      <c r="F37" s="48" t="s">
        <v>1</v>
      </c>
      <c r="G37" s="48" t="s">
        <v>1</v>
      </c>
      <c r="H37" s="48" t="s">
        <v>1</v>
      </c>
      <c r="I37" s="36"/>
      <c r="J37" s="36"/>
      <c r="K37" s="36"/>
      <c r="L37" s="85"/>
    </row>
    <row r="38" spans="1:12" ht="8.25" customHeight="1" x14ac:dyDescent="0.25"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</row>
    <row r="39" spans="1:12" x14ac:dyDescent="0.25">
      <c r="A39" s="8" t="s">
        <v>428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</row>
    <row r="40" spans="1:12" hidden="1" x14ac:dyDescent="0.25"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</row>
    <row r="41" spans="1:12" hidden="1" x14ac:dyDescent="0.25">
      <c r="A41" s="269" t="s">
        <v>193</v>
      </c>
      <c r="B41" s="307" t="s">
        <v>72</v>
      </c>
      <c r="C41" s="309" t="s">
        <v>54</v>
      </c>
      <c r="D41" s="309"/>
      <c r="E41" s="309"/>
      <c r="F41" s="305" t="s">
        <v>96</v>
      </c>
      <c r="G41" s="305"/>
      <c r="H41" s="305"/>
      <c r="I41" s="307" t="s">
        <v>97</v>
      </c>
      <c r="J41" s="307"/>
      <c r="K41" s="307"/>
      <c r="L41" s="85"/>
    </row>
    <row r="42" spans="1:12" hidden="1" x14ac:dyDescent="0.25">
      <c r="A42" s="269"/>
      <c r="B42" s="307"/>
      <c r="C42" s="48" t="s">
        <v>51</v>
      </c>
      <c r="D42" s="48" t="s">
        <v>51</v>
      </c>
      <c r="E42" s="48" t="s">
        <v>51</v>
      </c>
      <c r="F42" s="48" t="s">
        <v>51</v>
      </c>
      <c r="G42" s="48" t="s">
        <v>51</v>
      </c>
      <c r="H42" s="48" t="s">
        <v>51</v>
      </c>
      <c r="I42" s="48" t="s">
        <v>51</v>
      </c>
      <c r="J42" s="48" t="s">
        <v>51</v>
      </c>
      <c r="K42" s="48" t="s">
        <v>51</v>
      </c>
      <c r="L42" s="85"/>
    </row>
    <row r="43" spans="1:12" ht="38.25" hidden="1" x14ac:dyDescent="0.25">
      <c r="A43" s="269"/>
      <c r="B43" s="307"/>
      <c r="C43" s="49" t="s">
        <v>55</v>
      </c>
      <c r="D43" s="50" t="s">
        <v>45</v>
      </c>
      <c r="E43" s="50" t="s">
        <v>46</v>
      </c>
      <c r="F43" s="49" t="s">
        <v>44</v>
      </c>
      <c r="G43" s="50" t="s">
        <v>45</v>
      </c>
      <c r="H43" s="50" t="s">
        <v>46</v>
      </c>
      <c r="I43" s="49" t="s">
        <v>44</v>
      </c>
      <c r="J43" s="50" t="s">
        <v>45</v>
      </c>
      <c r="K43" s="50" t="s">
        <v>46</v>
      </c>
      <c r="L43" s="85"/>
    </row>
    <row r="44" spans="1:12" hidden="1" x14ac:dyDescent="0.25">
      <c r="A44" s="51" t="s">
        <v>190</v>
      </c>
      <c r="B44" s="48" t="s">
        <v>73</v>
      </c>
      <c r="C44" s="48" t="s">
        <v>47</v>
      </c>
      <c r="D44" s="48" t="s">
        <v>48</v>
      </c>
      <c r="E44" s="48" t="s">
        <v>49</v>
      </c>
      <c r="F44" s="48" t="s">
        <v>52</v>
      </c>
      <c r="G44" s="48" t="s">
        <v>53</v>
      </c>
      <c r="H44" s="48" t="s">
        <v>91</v>
      </c>
      <c r="I44" s="48" t="s">
        <v>92</v>
      </c>
      <c r="J44" s="48" t="s">
        <v>93</v>
      </c>
      <c r="K44" s="48" t="s">
        <v>94</v>
      </c>
      <c r="L44" s="85"/>
    </row>
    <row r="45" spans="1:12" hidden="1" x14ac:dyDescent="0.25">
      <c r="A45" s="53" t="s">
        <v>429</v>
      </c>
      <c r="B45" s="86" t="s">
        <v>98</v>
      </c>
      <c r="C45" s="36"/>
      <c r="D45" s="36"/>
      <c r="E45" s="36"/>
      <c r="F45" s="36"/>
      <c r="G45" s="36"/>
      <c r="H45" s="36"/>
      <c r="I45" s="36"/>
      <c r="J45" s="36"/>
      <c r="K45" s="36"/>
      <c r="L45" s="85"/>
    </row>
    <row r="46" spans="1:12" hidden="1" x14ac:dyDescent="0.25">
      <c r="A46" s="53" t="s">
        <v>430</v>
      </c>
      <c r="B46" s="86" t="s">
        <v>99</v>
      </c>
      <c r="C46" s="36"/>
      <c r="D46" s="36"/>
      <c r="E46" s="36"/>
      <c r="F46" s="36"/>
      <c r="G46" s="36"/>
      <c r="H46" s="36"/>
      <c r="I46" s="36"/>
      <c r="J46" s="36"/>
      <c r="K46" s="36"/>
      <c r="L46" s="85"/>
    </row>
    <row r="47" spans="1:12" hidden="1" x14ac:dyDescent="0.25">
      <c r="A47" s="45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85"/>
    </row>
    <row r="48" spans="1:12" hidden="1" x14ac:dyDescent="0.25">
      <c r="A48" s="51" t="s">
        <v>427</v>
      </c>
      <c r="B48" s="48" t="s">
        <v>95</v>
      </c>
      <c r="C48" s="48" t="s">
        <v>1</v>
      </c>
      <c r="D48" s="48" t="s">
        <v>1</v>
      </c>
      <c r="E48" s="48" t="s">
        <v>1</v>
      </c>
      <c r="F48" s="48" t="s">
        <v>1</v>
      </c>
      <c r="G48" s="48" t="s">
        <v>1</v>
      </c>
      <c r="H48" s="48" t="s">
        <v>1</v>
      </c>
      <c r="I48" s="36"/>
      <c r="J48" s="36"/>
      <c r="K48" s="36"/>
      <c r="L48" s="85"/>
    </row>
    <row r="49" spans="1:12" ht="9" customHeight="1" x14ac:dyDescent="0.25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</row>
    <row r="50" spans="1:12" x14ac:dyDescent="0.25">
      <c r="A50" s="320" t="s">
        <v>512</v>
      </c>
      <c r="B50" s="320"/>
      <c r="C50" s="320"/>
      <c r="D50" s="320"/>
      <c r="E50" s="320"/>
      <c r="F50" s="320"/>
      <c r="G50" s="320"/>
      <c r="H50" s="320"/>
      <c r="I50" s="320"/>
      <c r="J50" s="320"/>
      <c r="K50" s="320"/>
      <c r="L50" s="85"/>
    </row>
    <row r="51" spans="1:12" hidden="1" x14ac:dyDescent="0.25"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</row>
    <row r="52" spans="1:12" hidden="1" x14ac:dyDescent="0.25">
      <c r="A52" s="269" t="s">
        <v>193</v>
      </c>
      <c r="B52" s="307" t="s">
        <v>72</v>
      </c>
      <c r="C52" s="308" t="s">
        <v>54</v>
      </c>
      <c r="D52" s="308"/>
      <c r="E52" s="308"/>
      <c r="F52" s="305" t="s">
        <v>100</v>
      </c>
      <c r="G52" s="305"/>
      <c r="H52" s="305"/>
      <c r="I52" s="305" t="s">
        <v>97</v>
      </c>
      <c r="J52" s="305"/>
      <c r="K52" s="305"/>
      <c r="L52" s="85"/>
    </row>
    <row r="53" spans="1:12" hidden="1" x14ac:dyDescent="0.25">
      <c r="A53" s="269"/>
      <c r="B53" s="307"/>
      <c r="C53" s="48" t="s">
        <v>51</v>
      </c>
      <c r="D53" s="48" t="s">
        <v>51</v>
      </c>
      <c r="E53" s="48" t="s">
        <v>51</v>
      </c>
      <c r="F53" s="48" t="s">
        <v>51</v>
      </c>
      <c r="G53" s="48" t="s">
        <v>51</v>
      </c>
      <c r="H53" s="48" t="s">
        <v>51</v>
      </c>
      <c r="I53" s="48" t="s">
        <v>51</v>
      </c>
      <c r="J53" s="48" t="s">
        <v>51</v>
      </c>
      <c r="K53" s="48" t="s">
        <v>51</v>
      </c>
      <c r="L53" s="85"/>
    </row>
    <row r="54" spans="1:12" ht="38.25" hidden="1" x14ac:dyDescent="0.25">
      <c r="A54" s="269"/>
      <c r="B54" s="307"/>
      <c r="C54" s="49" t="s">
        <v>44</v>
      </c>
      <c r="D54" s="50" t="s">
        <v>45</v>
      </c>
      <c r="E54" s="50" t="s">
        <v>46</v>
      </c>
      <c r="F54" s="49" t="s">
        <v>44</v>
      </c>
      <c r="G54" s="50" t="s">
        <v>45</v>
      </c>
      <c r="H54" s="50" t="s">
        <v>46</v>
      </c>
      <c r="I54" s="49" t="s">
        <v>44</v>
      </c>
      <c r="J54" s="50" t="s">
        <v>45</v>
      </c>
      <c r="K54" s="49" t="s">
        <v>46</v>
      </c>
      <c r="L54" s="85"/>
    </row>
    <row r="55" spans="1:12" hidden="1" x14ac:dyDescent="0.25">
      <c r="A55" s="51" t="s">
        <v>190</v>
      </c>
      <c r="B55" s="48" t="s">
        <v>73</v>
      </c>
      <c r="C55" s="48" t="s">
        <v>47</v>
      </c>
      <c r="D55" s="48" t="s">
        <v>48</v>
      </c>
      <c r="E55" s="48" t="s">
        <v>49</v>
      </c>
      <c r="F55" s="48" t="s">
        <v>52</v>
      </c>
      <c r="G55" s="48" t="s">
        <v>53</v>
      </c>
      <c r="H55" s="48" t="s">
        <v>91</v>
      </c>
      <c r="I55" s="48" t="s">
        <v>92</v>
      </c>
      <c r="J55" s="48" t="s">
        <v>93</v>
      </c>
      <c r="K55" s="48" t="s">
        <v>94</v>
      </c>
      <c r="L55" s="85"/>
    </row>
    <row r="56" spans="1:12" hidden="1" x14ac:dyDescent="0.25">
      <c r="A56" s="45"/>
      <c r="B56" s="86" t="s">
        <v>98</v>
      </c>
      <c r="C56" s="36"/>
      <c r="D56" s="36"/>
      <c r="E56" s="36"/>
      <c r="F56" s="36"/>
      <c r="G56" s="36"/>
      <c r="H56" s="36"/>
      <c r="I56" s="36"/>
      <c r="J56" s="36"/>
      <c r="K56" s="36"/>
      <c r="L56" s="85"/>
    </row>
    <row r="57" spans="1:12" hidden="1" x14ac:dyDescent="0.25">
      <c r="A57" s="45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85"/>
    </row>
    <row r="58" spans="1:12" hidden="1" x14ac:dyDescent="0.25">
      <c r="A58" s="45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85"/>
    </row>
    <row r="59" spans="1:12" hidden="1" x14ac:dyDescent="0.25">
      <c r="A59" s="53" t="s">
        <v>427</v>
      </c>
      <c r="B59" s="86" t="s">
        <v>95</v>
      </c>
      <c r="C59" s="37" t="s">
        <v>1</v>
      </c>
      <c r="D59" s="37" t="s">
        <v>1</v>
      </c>
      <c r="E59" s="37" t="s">
        <v>1</v>
      </c>
      <c r="F59" s="37" t="s">
        <v>1</v>
      </c>
      <c r="G59" s="37" t="s">
        <v>1</v>
      </c>
      <c r="H59" s="37" t="s">
        <v>1</v>
      </c>
      <c r="I59" s="36"/>
      <c r="J59" s="36"/>
      <c r="K59" s="36"/>
      <c r="L59" s="85"/>
    </row>
    <row r="60" spans="1:12" ht="9" customHeight="1" x14ac:dyDescent="0.25"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</row>
    <row r="61" spans="1:12" x14ac:dyDescent="0.25">
      <c r="A61" s="8" t="s">
        <v>513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</row>
    <row r="62" spans="1:12" ht="12" customHeight="1" x14ac:dyDescent="0.25"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</row>
    <row r="63" spans="1:12" ht="15" customHeight="1" x14ac:dyDescent="0.25">
      <c r="A63" s="310" t="s">
        <v>393</v>
      </c>
      <c r="B63" s="310"/>
      <c r="C63" s="310"/>
      <c r="D63" s="310"/>
      <c r="E63" s="310"/>
      <c r="F63" s="310"/>
      <c r="G63" s="310"/>
      <c r="H63" s="310"/>
      <c r="I63" s="310"/>
      <c r="J63" s="310"/>
      <c r="K63" s="310"/>
      <c r="L63" s="85"/>
    </row>
    <row r="64" spans="1:12" x14ac:dyDescent="0.25"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</row>
    <row r="65" spans="1:12" x14ac:dyDescent="0.25">
      <c r="A65" s="298" t="s">
        <v>193</v>
      </c>
      <c r="B65" s="308" t="s">
        <v>72</v>
      </c>
      <c r="C65" s="306" t="s">
        <v>43</v>
      </c>
      <c r="D65" s="306"/>
      <c r="E65" s="306"/>
      <c r="F65" s="85"/>
      <c r="G65" s="85"/>
      <c r="H65" s="85"/>
      <c r="I65" s="85"/>
      <c r="J65" s="85"/>
      <c r="K65" s="85"/>
      <c r="L65" s="85"/>
    </row>
    <row r="66" spans="1:12" x14ac:dyDescent="0.25">
      <c r="A66" s="298"/>
      <c r="B66" s="308"/>
      <c r="C66" s="48" t="s">
        <v>399</v>
      </c>
      <c r="D66" s="48" t="s">
        <v>611</v>
      </c>
      <c r="E66" s="48" t="s">
        <v>650</v>
      </c>
      <c r="F66" s="85"/>
      <c r="G66" s="85"/>
      <c r="H66" s="85"/>
      <c r="I66" s="85"/>
      <c r="J66" s="85"/>
      <c r="K66" s="85"/>
      <c r="L66" s="85"/>
    </row>
    <row r="67" spans="1:12" ht="40.5" customHeight="1" x14ac:dyDescent="0.25">
      <c r="A67" s="298"/>
      <c r="B67" s="308"/>
      <c r="C67" s="50" t="s">
        <v>44</v>
      </c>
      <c r="D67" s="50" t="s">
        <v>45</v>
      </c>
      <c r="E67" s="50" t="s">
        <v>46</v>
      </c>
      <c r="F67" s="85"/>
      <c r="G67" s="85"/>
      <c r="H67" s="85"/>
      <c r="I67" s="85"/>
      <c r="J67" s="85"/>
      <c r="K67" s="85"/>
      <c r="L67" s="85"/>
    </row>
    <row r="68" spans="1:12" x14ac:dyDescent="0.25">
      <c r="A68" s="51" t="s">
        <v>190</v>
      </c>
      <c r="B68" s="48" t="s">
        <v>73</v>
      </c>
      <c r="C68" s="48" t="s">
        <v>47</v>
      </c>
      <c r="D68" s="48" t="s">
        <v>48</v>
      </c>
      <c r="E68" s="48" t="s">
        <v>49</v>
      </c>
      <c r="F68" s="85"/>
      <c r="G68" s="85"/>
      <c r="H68" s="85"/>
      <c r="I68" s="85"/>
      <c r="J68" s="85"/>
      <c r="K68" s="85"/>
      <c r="L68" s="85"/>
    </row>
    <row r="69" spans="1:12" ht="38.25" customHeight="1" x14ac:dyDescent="0.25">
      <c r="A69" s="4" t="s">
        <v>409</v>
      </c>
      <c r="B69" s="60" t="s">
        <v>74</v>
      </c>
      <c r="C69" s="60">
        <v>0</v>
      </c>
      <c r="D69" s="60">
        <v>0</v>
      </c>
      <c r="E69" s="60">
        <v>0</v>
      </c>
      <c r="F69" s="85"/>
      <c r="G69" s="85"/>
      <c r="H69" s="85"/>
      <c r="I69" s="85"/>
      <c r="J69" s="85"/>
      <c r="K69" s="85"/>
      <c r="L69" s="85"/>
    </row>
    <row r="70" spans="1:12" ht="51" customHeight="1" x14ac:dyDescent="0.25">
      <c r="A70" s="4" t="s">
        <v>410</v>
      </c>
      <c r="B70" s="60" t="s">
        <v>75</v>
      </c>
      <c r="C70" s="60">
        <v>0</v>
      </c>
      <c r="D70" s="60">
        <v>0</v>
      </c>
      <c r="E70" s="60">
        <v>0</v>
      </c>
      <c r="F70" s="85"/>
      <c r="G70" s="85"/>
      <c r="H70" s="85"/>
      <c r="I70" s="85"/>
      <c r="J70" s="85"/>
      <c r="K70" s="85"/>
      <c r="L70" s="85"/>
    </row>
    <row r="71" spans="1:12" ht="27" customHeight="1" x14ac:dyDescent="0.25">
      <c r="A71" s="4" t="s">
        <v>431</v>
      </c>
      <c r="B71" s="60" t="s">
        <v>76</v>
      </c>
      <c r="C71" s="60">
        <f>C72+C73+C75</f>
        <v>26981620.999839999</v>
      </c>
      <c r="D71" s="60">
        <f t="shared" ref="D71:E71" si="0">D72+D73+D75</f>
        <v>26993071.999839999</v>
      </c>
      <c r="E71" s="60">
        <f t="shared" si="0"/>
        <v>26813469.999839999</v>
      </c>
      <c r="F71" s="85"/>
      <c r="G71" s="85"/>
      <c r="H71" s="85"/>
      <c r="I71" s="85"/>
      <c r="J71" s="85"/>
      <c r="K71" s="85"/>
      <c r="L71" s="85"/>
    </row>
    <row r="72" spans="1:12" ht="40.5" customHeight="1" x14ac:dyDescent="0.25">
      <c r="A72" s="4" t="s">
        <v>248</v>
      </c>
      <c r="B72" s="60" t="s">
        <v>77</v>
      </c>
      <c r="C72" s="60">
        <f>I91</f>
        <v>22181620.999839999</v>
      </c>
      <c r="D72" s="60">
        <f>J91</f>
        <v>22193071.999839999</v>
      </c>
      <c r="E72" s="60">
        <f>K91</f>
        <v>22013469.999839999</v>
      </c>
      <c r="F72" s="85"/>
      <c r="G72" s="85"/>
      <c r="H72" s="85"/>
      <c r="I72" s="85"/>
      <c r="J72" s="85"/>
      <c r="K72" s="85"/>
      <c r="L72" s="85"/>
    </row>
    <row r="73" spans="1:12" ht="39" customHeight="1" x14ac:dyDescent="0.25">
      <c r="A73" s="4" t="s">
        <v>432</v>
      </c>
      <c r="B73" s="60" t="s">
        <v>78</v>
      </c>
      <c r="C73" s="60">
        <v>4800000</v>
      </c>
      <c r="D73" s="253">
        <v>4800000</v>
      </c>
      <c r="E73" s="253">
        <v>4800000</v>
      </c>
      <c r="F73" s="85"/>
      <c r="G73" s="85"/>
      <c r="H73" s="85"/>
      <c r="I73" s="85"/>
      <c r="J73" s="85"/>
      <c r="K73" s="85"/>
      <c r="L73" s="85"/>
    </row>
    <row r="74" spans="1:12" ht="66" customHeight="1" x14ac:dyDescent="0.25">
      <c r="A74" s="63" t="s">
        <v>10</v>
      </c>
      <c r="B74" s="67" t="s">
        <v>79</v>
      </c>
      <c r="C74" s="67">
        <v>0</v>
      </c>
      <c r="D74" s="67">
        <v>0</v>
      </c>
      <c r="E74" s="67">
        <v>0</v>
      </c>
      <c r="F74" s="85"/>
      <c r="G74" s="85"/>
      <c r="H74" s="85"/>
      <c r="I74" s="85"/>
      <c r="J74" s="85"/>
      <c r="K74" s="85"/>
      <c r="L74" s="85"/>
    </row>
    <row r="75" spans="1:12" ht="66" customHeight="1" x14ac:dyDescent="0.25">
      <c r="A75" s="4" t="s">
        <v>250</v>
      </c>
      <c r="B75" s="60" t="s">
        <v>80</v>
      </c>
      <c r="C75" s="60">
        <v>0</v>
      </c>
      <c r="D75" s="60">
        <v>0</v>
      </c>
      <c r="E75" s="60">
        <v>0</v>
      </c>
      <c r="F75" s="85"/>
      <c r="G75" s="85"/>
      <c r="H75" s="85"/>
      <c r="I75" s="85"/>
      <c r="J75" s="85"/>
      <c r="K75" s="85"/>
      <c r="L75" s="85"/>
    </row>
    <row r="76" spans="1:12" ht="29.25" customHeight="1" x14ac:dyDescent="0.25">
      <c r="A76" s="4" t="s">
        <v>419</v>
      </c>
      <c r="B76" s="60" t="s">
        <v>86</v>
      </c>
      <c r="C76" s="60">
        <v>0</v>
      </c>
      <c r="D76" s="60">
        <v>0</v>
      </c>
      <c r="E76" s="60">
        <v>0</v>
      </c>
      <c r="F76" s="85"/>
      <c r="G76" s="85"/>
      <c r="H76" s="85"/>
      <c r="I76" s="85"/>
      <c r="J76" s="85"/>
      <c r="K76" s="85"/>
      <c r="L76" s="85"/>
    </row>
    <row r="77" spans="1:12" ht="50.25" customHeight="1" x14ac:dyDescent="0.25">
      <c r="A77" s="4" t="s">
        <v>420</v>
      </c>
      <c r="B77" s="60" t="s">
        <v>87</v>
      </c>
      <c r="C77" s="60">
        <v>0</v>
      </c>
      <c r="D77" s="60">
        <v>0</v>
      </c>
      <c r="E77" s="60">
        <v>0</v>
      </c>
      <c r="F77" s="85"/>
      <c r="G77" s="85"/>
      <c r="H77" s="85"/>
      <c r="I77" s="85"/>
      <c r="J77" s="85"/>
      <c r="K77" s="85"/>
      <c r="L77" s="85"/>
    </row>
    <row r="78" spans="1:12" ht="51" customHeight="1" x14ac:dyDescent="0.25">
      <c r="A78" s="4" t="s">
        <v>433</v>
      </c>
      <c r="B78" s="60" t="s">
        <v>88</v>
      </c>
      <c r="C78" s="30">
        <f>C69-C70+C71-C75+C77</f>
        <v>26981620.999839999</v>
      </c>
      <c r="D78" s="30">
        <f>D69-D70+D71-D75+D77</f>
        <v>26993071.999839999</v>
      </c>
      <c r="E78" s="30">
        <f>E69-E70+E71-E75+E77</f>
        <v>26813469.999839999</v>
      </c>
      <c r="F78" s="85"/>
      <c r="G78" s="85"/>
      <c r="H78" s="85"/>
      <c r="I78" s="85"/>
      <c r="J78" s="85"/>
      <c r="K78" s="85"/>
      <c r="L78" s="85"/>
    </row>
    <row r="79" spans="1:12" ht="10.5" customHeight="1" x14ac:dyDescent="0.25"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</row>
    <row r="80" spans="1:12" x14ac:dyDescent="0.25">
      <c r="A80" s="8" t="s">
        <v>434</v>
      </c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</row>
    <row r="81" spans="1:12" ht="9.75" customHeight="1" x14ac:dyDescent="0.25"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</row>
    <row r="82" spans="1:12" ht="27" customHeight="1" x14ac:dyDescent="0.25">
      <c r="A82" s="269" t="s">
        <v>193</v>
      </c>
      <c r="B82" s="307" t="s">
        <v>72</v>
      </c>
      <c r="C82" s="308" t="s">
        <v>56</v>
      </c>
      <c r="D82" s="308"/>
      <c r="E82" s="308"/>
      <c r="F82" s="308" t="s">
        <v>101</v>
      </c>
      <c r="G82" s="308"/>
      <c r="H82" s="308"/>
      <c r="I82" s="308" t="s">
        <v>102</v>
      </c>
      <c r="J82" s="308"/>
      <c r="K82" s="308"/>
      <c r="L82" s="85"/>
    </row>
    <row r="83" spans="1:12" x14ac:dyDescent="0.25">
      <c r="A83" s="269"/>
      <c r="B83" s="307"/>
      <c r="C83" s="253" t="s">
        <v>399</v>
      </c>
      <c r="D83" s="253" t="s">
        <v>611</v>
      </c>
      <c r="E83" s="253" t="s">
        <v>650</v>
      </c>
      <c r="F83" s="253" t="s">
        <v>399</v>
      </c>
      <c r="G83" s="253" t="s">
        <v>611</v>
      </c>
      <c r="H83" s="253" t="s">
        <v>650</v>
      </c>
      <c r="I83" s="253" t="s">
        <v>399</v>
      </c>
      <c r="J83" s="253" t="s">
        <v>611</v>
      </c>
      <c r="K83" s="253" t="s">
        <v>650</v>
      </c>
      <c r="L83" s="85"/>
    </row>
    <row r="84" spans="1:12" ht="38.25" x14ac:dyDescent="0.25">
      <c r="A84" s="269"/>
      <c r="B84" s="307"/>
      <c r="C84" s="49" t="s">
        <v>55</v>
      </c>
      <c r="D84" s="50" t="s">
        <v>45</v>
      </c>
      <c r="E84" s="50" t="s">
        <v>46</v>
      </c>
      <c r="F84" s="49" t="s">
        <v>44</v>
      </c>
      <c r="G84" s="50" t="s">
        <v>45</v>
      </c>
      <c r="H84" s="50" t="s">
        <v>46</v>
      </c>
      <c r="I84" s="49" t="s">
        <v>44</v>
      </c>
      <c r="J84" s="50" t="s">
        <v>45</v>
      </c>
      <c r="K84" s="50" t="s">
        <v>46</v>
      </c>
      <c r="L84" s="85"/>
    </row>
    <row r="85" spans="1:12" x14ac:dyDescent="0.25">
      <c r="A85" s="51" t="s">
        <v>190</v>
      </c>
      <c r="B85" s="48" t="s">
        <v>73</v>
      </c>
      <c r="C85" s="48" t="s">
        <v>47</v>
      </c>
      <c r="D85" s="48" t="s">
        <v>48</v>
      </c>
      <c r="E85" s="48" t="s">
        <v>49</v>
      </c>
      <c r="F85" s="48" t="s">
        <v>52</v>
      </c>
      <c r="G85" s="48" t="s">
        <v>53</v>
      </c>
      <c r="H85" s="48" t="s">
        <v>91</v>
      </c>
      <c r="I85" s="48" t="s">
        <v>92</v>
      </c>
      <c r="J85" s="48" t="s">
        <v>93</v>
      </c>
      <c r="K85" s="48" t="s">
        <v>94</v>
      </c>
      <c r="L85" s="85"/>
    </row>
    <row r="86" spans="1:12" ht="42.75" customHeight="1" x14ac:dyDescent="0.25">
      <c r="A86" s="4" t="s">
        <v>651</v>
      </c>
      <c r="B86" s="48" t="s">
        <v>98</v>
      </c>
      <c r="C86" s="220">
        <v>88311.186990000002</v>
      </c>
      <c r="D86" s="220">
        <v>88311.186990000002</v>
      </c>
      <c r="E86" s="220">
        <v>88311.186990000002</v>
      </c>
      <c r="F86" s="48">
        <v>123</v>
      </c>
      <c r="G86" s="219">
        <v>123</v>
      </c>
      <c r="H86" s="219">
        <v>123</v>
      </c>
      <c r="I86" s="48">
        <f>C86*F86</f>
        <v>10862275.999770001</v>
      </c>
      <c r="J86" s="253">
        <f t="shared" ref="J86:K87" si="1">D86*G86</f>
        <v>10862275.999770001</v>
      </c>
      <c r="K86" s="253">
        <f t="shared" si="1"/>
        <v>10862275.999770001</v>
      </c>
      <c r="L86" s="85"/>
    </row>
    <row r="87" spans="1:12" ht="38.25" x14ac:dyDescent="0.25">
      <c r="A87" s="19" t="s">
        <v>652</v>
      </c>
      <c r="B87" s="48" t="s">
        <v>99</v>
      </c>
      <c r="C87" s="220">
        <v>61608.292930000003</v>
      </c>
      <c r="D87" s="220">
        <v>61608.292930000003</v>
      </c>
      <c r="E87" s="220">
        <v>61608.292930000003</v>
      </c>
      <c r="F87" s="48">
        <v>99</v>
      </c>
      <c r="G87" s="219">
        <v>99</v>
      </c>
      <c r="H87" s="219">
        <v>99</v>
      </c>
      <c r="I87" s="48">
        <f>C87*F87</f>
        <v>6099221.0000700001</v>
      </c>
      <c r="J87" s="253">
        <f t="shared" si="1"/>
        <v>6099221.0000700001</v>
      </c>
      <c r="K87" s="253">
        <f t="shared" si="1"/>
        <v>6099221.0000700001</v>
      </c>
      <c r="L87" s="85"/>
    </row>
    <row r="88" spans="1:12" ht="38.25" x14ac:dyDescent="0.25">
      <c r="A88" s="19" t="s">
        <v>70</v>
      </c>
      <c r="B88" s="48" t="s">
        <v>103</v>
      </c>
      <c r="C88" s="220">
        <v>1305031</v>
      </c>
      <c r="D88" s="220">
        <f>J88/G88</f>
        <v>2615787.5</v>
      </c>
      <c r="E88" s="220">
        <f>K88/H88</f>
        <v>2525986.5</v>
      </c>
      <c r="F88" s="48">
        <v>4</v>
      </c>
      <c r="G88" s="219">
        <v>2</v>
      </c>
      <c r="H88" s="219">
        <v>2</v>
      </c>
      <c r="I88" s="48">
        <f>C88*F88</f>
        <v>5220124</v>
      </c>
      <c r="J88" s="134">
        <v>5231575</v>
      </c>
      <c r="K88" s="134">
        <v>5051973</v>
      </c>
      <c r="L88" s="85"/>
    </row>
    <row r="89" spans="1:12" ht="51" hidden="1" x14ac:dyDescent="0.25">
      <c r="A89" s="19" t="s">
        <v>71</v>
      </c>
      <c r="B89" s="48" t="s">
        <v>104</v>
      </c>
      <c r="C89" s="48"/>
      <c r="D89" s="164"/>
      <c r="E89" s="164"/>
      <c r="F89" s="48"/>
      <c r="G89" s="164">
        <v>0</v>
      </c>
      <c r="H89" s="164">
        <v>0</v>
      </c>
      <c r="I89" s="48">
        <f>C89*F89</f>
        <v>0</v>
      </c>
      <c r="J89" s="48">
        <v>0</v>
      </c>
      <c r="K89" s="48">
        <v>0</v>
      </c>
      <c r="L89" s="85"/>
    </row>
    <row r="90" spans="1:12" ht="38.25" hidden="1" x14ac:dyDescent="0.25">
      <c r="A90" s="19" t="s">
        <v>151</v>
      </c>
      <c r="B90" s="48" t="s">
        <v>105</v>
      </c>
      <c r="C90" s="48">
        <v>0</v>
      </c>
      <c r="D90" s="164">
        <v>0</v>
      </c>
      <c r="E90" s="164">
        <v>0</v>
      </c>
      <c r="F90" s="48">
        <v>0</v>
      </c>
      <c r="G90" s="164">
        <v>0</v>
      </c>
      <c r="H90" s="164">
        <v>0</v>
      </c>
      <c r="I90" s="48">
        <f>C90*F90</f>
        <v>0</v>
      </c>
      <c r="J90" s="48">
        <v>0</v>
      </c>
      <c r="K90" s="48">
        <v>0</v>
      </c>
      <c r="L90" s="85"/>
    </row>
    <row r="91" spans="1:12" x14ac:dyDescent="0.25">
      <c r="A91" s="51" t="s">
        <v>427</v>
      </c>
      <c r="B91" s="48"/>
      <c r="C91" s="48" t="s">
        <v>1</v>
      </c>
      <c r="D91" s="48" t="s">
        <v>1</v>
      </c>
      <c r="E91" s="48" t="s">
        <v>1</v>
      </c>
      <c r="F91" s="48" t="s">
        <v>1</v>
      </c>
      <c r="G91" s="48" t="s">
        <v>1</v>
      </c>
      <c r="H91" s="48" t="s">
        <v>1</v>
      </c>
      <c r="I91" s="94">
        <f>I86+I87+I88+I89+I90</f>
        <v>22181620.999839999</v>
      </c>
      <c r="J91" s="94">
        <f>J86+J87+J88+J89+J90</f>
        <v>22193071.999839999</v>
      </c>
      <c r="K91" s="94">
        <f>K86+K87+K88+K89+K90</f>
        <v>22013469.999839999</v>
      </c>
      <c r="L91" s="85"/>
    </row>
    <row r="92" spans="1:12" x14ac:dyDescent="0.25">
      <c r="A92" s="23"/>
      <c r="B92" s="89"/>
      <c r="C92" s="89"/>
      <c r="D92" s="89"/>
      <c r="E92" s="89"/>
      <c r="F92" s="89"/>
      <c r="G92" s="89"/>
      <c r="H92" s="89"/>
      <c r="I92" s="90"/>
      <c r="J92" s="90"/>
      <c r="K92" s="90"/>
      <c r="L92" s="85"/>
    </row>
    <row r="93" spans="1:12" ht="13.5" customHeight="1" x14ac:dyDescent="0.25">
      <c r="A93" s="8" t="s">
        <v>435</v>
      </c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</row>
    <row r="94" spans="1:12" ht="13.5" hidden="1" customHeight="1" x14ac:dyDescent="0.25"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</row>
    <row r="95" spans="1:12" ht="24" hidden="1" customHeight="1" x14ac:dyDescent="0.25">
      <c r="A95" s="269" t="s">
        <v>193</v>
      </c>
      <c r="B95" s="307" t="s">
        <v>72</v>
      </c>
      <c r="C95" s="308" t="s">
        <v>56</v>
      </c>
      <c r="D95" s="308"/>
      <c r="E95" s="308"/>
      <c r="F95" s="308" t="s">
        <v>101</v>
      </c>
      <c r="G95" s="308"/>
      <c r="H95" s="308"/>
      <c r="I95" s="308" t="s">
        <v>102</v>
      </c>
      <c r="J95" s="308"/>
      <c r="K95" s="308"/>
      <c r="L95" s="85"/>
    </row>
    <row r="96" spans="1:12" hidden="1" x14ac:dyDescent="0.25">
      <c r="A96" s="269"/>
      <c r="B96" s="307"/>
      <c r="C96" s="48" t="s">
        <v>8</v>
      </c>
      <c r="D96" s="48" t="s">
        <v>9</v>
      </c>
      <c r="E96" s="48" t="s">
        <v>399</v>
      </c>
      <c r="F96" s="48" t="s">
        <v>8</v>
      </c>
      <c r="G96" s="48" t="s">
        <v>9</v>
      </c>
      <c r="H96" s="48" t="s">
        <v>399</v>
      </c>
      <c r="I96" s="48" t="s">
        <v>8</v>
      </c>
      <c r="J96" s="48" t="s">
        <v>9</v>
      </c>
      <c r="K96" s="48" t="s">
        <v>399</v>
      </c>
      <c r="L96" s="85"/>
    </row>
    <row r="97" spans="1:12" ht="48" hidden="1" customHeight="1" x14ac:dyDescent="0.25">
      <c r="A97" s="269"/>
      <c r="B97" s="307"/>
      <c r="C97" s="49" t="s">
        <v>55</v>
      </c>
      <c r="D97" s="50" t="s">
        <v>45</v>
      </c>
      <c r="E97" s="50" t="s">
        <v>46</v>
      </c>
      <c r="F97" s="49" t="s">
        <v>44</v>
      </c>
      <c r="G97" s="50" t="s">
        <v>45</v>
      </c>
      <c r="H97" s="50" t="s">
        <v>46</v>
      </c>
      <c r="I97" s="49" t="s">
        <v>44</v>
      </c>
      <c r="J97" s="50" t="s">
        <v>45</v>
      </c>
      <c r="K97" s="50" t="s">
        <v>46</v>
      </c>
      <c r="L97" s="85"/>
    </row>
    <row r="98" spans="1:12" hidden="1" x14ac:dyDescent="0.25">
      <c r="A98" s="51" t="s">
        <v>190</v>
      </c>
      <c r="B98" s="48" t="s">
        <v>73</v>
      </c>
      <c r="C98" s="48" t="s">
        <v>47</v>
      </c>
      <c r="D98" s="48" t="s">
        <v>48</v>
      </c>
      <c r="E98" s="48" t="s">
        <v>49</v>
      </c>
      <c r="F98" s="48" t="s">
        <v>52</v>
      </c>
      <c r="G98" s="48" t="s">
        <v>53</v>
      </c>
      <c r="H98" s="48" t="s">
        <v>91</v>
      </c>
      <c r="I98" s="48" t="s">
        <v>92</v>
      </c>
      <c r="J98" s="48" t="s">
        <v>93</v>
      </c>
      <c r="K98" s="48" t="s">
        <v>94</v>
      </c>
      <c r="L98" s="85"/>
    </row>
    <row r="99" spans="1:12" hidden="1" x14ac:dyDescent="0.25">
      <c r="A99" s="4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85"/>
    </row>
    <row r="100" spans="1:12" ht="49.5" hidden="1" customHeight="1" x14ac:dyDescent="0.25">
      <c r="A100" s="4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85"/>
    </row>
    <row r="101" spans="1:12" hidden="1" x14ac:dyDescent="0.25">
      <c r="A101" s="4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85"/>
    </row>
    <row r="102" spans="1:12" hidden="1" x14ac:dyDescent="0.25">
      <c r="A102" s="51" t="s">
        <v>427</v>
      </c>
      <c r="B102" s="48" t="s">
        <v>95</v>
      </c>
      <c r="C102" s="48" t="s">
        <v>1</v>
      </c>
      <c r="D102" s="48" t="s">
        <v>1</v>
      </c>
      <c r="E102" s="48" t="s">
        <v>1</v>
      </c>
      <c r="F102" s="48" t="s">
        <v>1</v>
      </c>
      <c r="G102" s="48" t="s">
        <v>1</v>
      </c>
      <c r="H102" s="48" t="s">
        <v>1</v>
      </c>
      <c r="I102" s="88">
        <f>SUM(I99:I101)</f>
        <v>0</v>
      </c>
      <c r="J102" s="88">
        <f>SUM(J99:J101)</f>
        <v>0</v>
      </c>
      <c r="K102" s="88">
        <f>SUM(K99:K101)</f>
        <v>0</v>
      </c>
      <c r="L102" s="85"/>
    </row>
    <row r="103" spans="1:12" ht="15.75" hidden="1" customHeight="1" x14ac:dyDescent="0.25">
      <c r="A103" s="8" t="s">
        <v>436</v>
      </c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</row>
    <row r="104" spans="1:12" ht="15.75" hidden="1" customHeight="1" x14ac:dyDescent="0.25"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</row>
    <row r="105" spans="1:12" ht="15.75" hidden="1" customHeight="1" x14ac:dyDescent="0.25">
      <c r="A105" s="8" t="s">
        <v>437</v>
      </c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</row>
    <row r="106" spans="1:12" ht="15.75" hidden="1" customHeight="1" x14ac:dyDescent="0.25"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</row>
    <row r="107" spans="1:12" ht="15.75" hidden="1" customHeight="1" x14ac:dyDescent="0.25">
      <c r="A107" s="269" t="s">
        <v>438</v>
      </c>
      <c r="B107" s="307" t="s">
        <v>72</v>
      </c>
      <c r="C107" s="308" t="s">
        <v>56</v>
      </c>
      <c r="D107" s="308"/>
      <c r="E107" s="308"/>
      <c r="F107" s="308" t="s">
        <v>106</v>
      </c>
      <c r="G107" s="308"/>
      <c r="H107" s="308"/>
      <c r="I107" s="308" t="s">
        <v>102</v>
      </c>
      <c r="J107" s="308"/>
      <c r="K107" s="308"/>
      <c r="L107" s="85"/>
    </row>
    <row r="108" spans="1:12" ht="15.75" hidden="1" customHeight="1" x14ac:dyDescent="0.25">
      <c r="A108" s="269"/>
      <c r="B108" s="307"/>
      <c r="C108" s="48" t="s">
        <v>7</v>
      </c>
      <c r="D108" s="48" t="s">
        <v>8</v>
      </c>
      <c r="E108" s="48" t="s">
        <v>9</v>
      </c>
      <c r="F108" s="48" t="s">
        <v>7</v>
      </c>
      <c r="G108" s="48" t="s">
        <v>8</v>
      </c>
      <c r="H108" s="48" t="s">
        <v>9</v>
      </c>
      <c r="I108" s="48" t="s">
        <v>7</v>
      </c>
      <c r="J108" s="48" t="s">
        <v>8</v>
      </c>
      <c r="K108" s="48" t="s">
        <v>9</v>
      </c>
      <c r="L108" s="85"/>
    </row>
    <row r="109" spans="1:12" ht="15.75" hidden="1" customHeight="1" x14ac:dyDescent="0.25">
      <c r="A109" s="269"/>
      <c r="B109" s="307"/>
      <c r="C109" s="49" t="s">
        <v>44</v>
      </c>
      <c r="D109" s="50" t="s">
        <v>45</v>
      </c>
      <c r="E109" s="50" t="s">
        <v>46</v>
      </c>
      <c r="F109" s="49" t="s">
        <v>44</v>
      </c>
      <c r="G109" s="50" t="s">
        <v>45</v>
      </c>
      <c r="H109" s="50" t="s">
        <v>46</v>
      </c>
      <c r="I109" s="49" t="s">
        <v>44</v>
      </c>
      <c r="J109" s="50" t="s">
        <v>45</v>
      </c>
      <c r="K109" s="50" t="s">
        <v>46</v>
      </c>
      <c r="L109" s="85"/>
    </row>
    <row r="110" spans="1:12" ht="15.75" hidden="1" customHeight="1" x14ac:dyDescent="0.25">
      <c r="A110" s="51" t="s">
        <v>190</v>
      </c>
      <c r="B110" s="48" t="s">
        <v>73</v>
      </c>
      <c r="C110" s="48" t="s">
        <v>47</v>
      </c>
      <c r="D110" s="48" t="s">
        <v>48</v>
      </c>
      <c r="E110" s="48" t="s">
        <v>49</v>
      </c>
      <c r="F110" s="48" t="s">
        <v>52</v>
      </c>
      <c r="G110" s="48" t="s">
        <v>53</v>
      </c>
      <c r="H110" s="48" t="s">
        <v>91</v>
      </c>
      <c r="I110" s="48" t="s">
        <v>92</v>
      </c>
      <c r="J110" s="48" t="s">
        <v>93</v>
      </c>
      <c r="K110" s="48" t="s">
        <v>94</v>
      </c>
      <c r="L110" s="85"/>
    </row>
    <row r="111" spans="1:12" ht="15.75" hidden="1" customHeight="1" x14ac:dyDescent="0.25">
      <c r="A111" s="45"/>
      <c r="B111" s="48" t="s">
        <v>98</v>
      </c>
      <c r="C111" s="36"/>
      <c r="D111" s="36"/>
      <c r="E111" s="36"/>
      <c r="F111" s="36"/>
      <c r="G111" s="36"/>
      <c r="H111" s="36"/>
      <c r="I111" s="36"/>
      <c r="J111" s="36"/>
      <c r="K111" s="36"/>
      <c r="L111" s="85"/>
    </row>
    <row r="112" spans="1:12" ht="15.75" hidden="1" customHeight="1" x14ac:dyDescent="0.25">
      <c r="A112" s="45"/>
      <c r="B112" s="48" t="s">
        <v>99</v>
      </c>
      <c r="C112" s="36"/>
      <c r="D112" s="36"/>
      <c r="E112" s="36"/>
      <c r="F112" s="36"/>
      <c r="G112" s="36"/>
      <c r="H112" s="36"/>
      <c r="I112" s="36"/>
      <c r="J112" s="36"/>
      <c r="K112" s="36"/>
      <c r="L112" s="85"/>
    </row>
    <row r="113" spans="1:12" ht="15.75" hidden="1" customHeight="1" x14ac:dyDescent="0.25">
      <c r="A113" s="45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85"/>
    </row>
    <row r="114" spans="1:12" ht="15.75" hidden="1" customHeight="1" x14ac:dyDescent="0.25">
      <c r="A114" s="51" t="s">
        <v>427</v>
      </c>
      <c r="B114" s="48" t="s">
        <v>95</v>
      </c>
      <c r="C114" s="48" t="s">
        <v>1</v>
      </c>
      <c r="D114" s="48" t="s">
        <v>1</v>
      </c>
      <c r="E114" s="48" t="s">
        <v>1</v>
      </c>
      <c r="F114" s="48" t="s">
        <v>1</v>
      </c>
      <c r="G114" s="48" t="s">
        <v>1</v>
      </c>
      <c r="H114" s="48" t="s">
        <v>1</v>
      </c>
      <c r="I114" s="36"/>
      <c r="J114" s="36"/>
      <c r="K114" s="36"/>
      <c r="L114" s="85"/>
    </row>
    <row r="115" spans="1:12" ht="15.75" hidden="1" customHeight="1" x14ac:dyDescent="0.25"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</row>
    <row r="116" spans="1:12" ht="15.75" hidden="1" customHeight="1" x14ac:dyDescent="0.25"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</row>
    <row r="117" spans="1:12" ht="15.75" hidden="1" customHeight="1" x14ac:dyDescent="0.25">
      <c r="A117" s="8" t="s">
        <v>439</v>
      </c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</row>
    <row r="118" spans="1:12" ht="15.75" hidden="1" customHeight="1" x14ac:dyDescent="0.25"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</row>
    <row r="119" spans="1:12" ht="15.75" hidden="1" customHeight="1" x14ac:dyDescent="0.25">
      <c r="A119" s="8" t="s">
        <v>440</v>
      </c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</row>
    <row r="120" spans="1:12" ht="15.75" hidden="1" customHeight="1" x14ac:dyDescent="0.25"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</row>
    <row r="121" spans="1:12" ht="15.75" hidden="1" customHeight="1" x14ac:dyDescent="0.25">
      <c r="A121" s="8" t="s">
        <v>441</v>
      </c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</row>
    <row r="122" spans="1:12" ht="15.75" hidden="1" customHeight="1" x14ac:dyDescent="0.25"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</row>
    <row r="123" spans="1:12" ht="15.75" hidden="1" customHeight="1" x14ac:dyDescent="0.25">
      <c r="A123" s="314" t="s">
        <v>193</v>
      </c>
      <c r="B123" s="307" t="s">
        <v>72</v>
      </c>
      <c r="C123" s="306" t="s">
        <v>43</v>
      </c>
      <c r="D123" s="306"/>
      <c r="E123" s="306"/>
      <c r="F123" s="85"/>
      <c r="G123" s="85"/>
      <c r="H123" s="85"/>
      <c r="I123" s="85"/>
      <c r="J123" s="85"/>
      <c r="K123" s="85"/>
      <c r="L123" s="85"/>
    </row>
    <row r="124" spans="1:12" ht="15.75" hidden="1" customHeight="1" x14ac:dyDescent="0.25">
      <c r="A124" s="314"/>
      <c r="B124" s="307"/>
      <c r="C124" s="48" t="s">
        <v>51</v>
      </c>
      <c r="D124" s="48" t="s">
        <v>51</v>
      </c>
      <c r="E124" s="48" t="s">
        <v>51</v>
      </c>
      <c r="F124" s="85"/>
      <c r="G124" s="85"/>
      <c r="H124" s="85"/>
      <c r="I124" s="85"/>
      <c r="J124" s="85"/>
      <c r="K124" s="85"/>
      <c r="L124" s="85"/>
    </row>
    <row r="125" spans="1:12" ht="15.75" hidden="1" customHeight="1" x14ac:dyDescent="0.25">
      <c r="A125" s="314"/>
      <c r="B125" s="307"/>
      <c r="C125" s="50" t="s">
        <v>44</v>
      </c>
      <c r="D125" s="50" t="s">
        <v>45</v>
      </c>
      <c r="E125" s="50" t="s">
        <v>46</v>
      </c>
      <c r="F125" s="85"/>
      <c r="G125" s="85"/>
      <c r="H125" s="85"/>
      <c r="I125" s="85"/>
      <c r="J125" s="85"/>
      <c r="K125" s="85"/>
      <c r="L125" s="85"/>
    </row>
    <row r="126" spans="1:12" ht="15.75" hidden="1" customHeight="1" x14ac:dyDescent="0.25">
      <c r="A126" s="51" t="s">
        <v>190</v>
      </c>
      <c r="B126" s="48" t="s">
        <v>73</v>
      </c>
      <c r="C126" s="48" t="s">
        <v>47</v>
      </c>
      <c r="D126" s="48" t="s">
        <v>48</v>
      </c>
      <c r="E126" s="48" t="s">
        <v>49</v>
      </c>
      <c r="F126" s="85"/>
      <c r="G126" s="85"/>
      <c r="H126" s="85"/>
      <c r="I126" s="85"/>
      <c r="J126" s="85"/>
      <c r="K126" s="85"/>
      <c r="L126" s="85"/>
    </row>
    <row r="127" spans="1:12" ht="15.75" hidden="1" customHeight="1" x14ac:dyDescent="0.25">
      <c r="A127" s="3" t="s">
        <v>409</v>
      </c>
      <c r="B127" s="91" t="s">
        <v>74</v>
      </c>
      <c r="C127" s="87"/>
      <c r="D127" s="87"/>
      <c r="E127" s="87"/>
      <c r="F127" s="85"/>
      <c r="G127" s="85"/>
      <c r="H127" s="85"/>
      <c r="I127" s="85"/>
      <c r="J127" s="85"/>
      <c r="K127" s="85"/>
      <c r="L127" s="85"/>
    </row>
    <row r="128" spans="1:12" ht="15.75" hidden="1" customHeight="1" x14ac:dyDescent="0.25">
      <c r="A128" s="3" t="s">
        <v>442</v>
      </c>
      <c r="B128" s="91" t="s">
        <v>75</v>
      </c>
      <c r="C128" s="87"/>
      <c r="D128" s="87"/>
      <c r="E128" s="87"/>
      <c r="F128" s="85"/>
      <c r="G128" s="85"/>
      <c r="H128" s="85"/>
      <c r="I128" s="85"/>
      <c r="J128" s="85"/>
      <c r="K128" s="85"/>
      <c r="L128" s="85"/>
    </row>
    <row r="129" spans="1:12" ht="15.75" hidden="1" customHeight="1" x14ac:dyDescent="0.25">
      <c r="A129" s="7" t="s">
        <v>443</v>
      </c>
      <c r="B129" s="91" t="s">
        <v>76</v>
      </c>
      <c r="C129" s="87"/>
      <c r="D129" s="87"/>
      <c r="E129" s="87"/>
      <c r="F129" s="85"/>
      <c r="G129" s="85"/>
      <c r="H129" s="85"/>
      <c r="I129" s="85"/>
      <c r="J129" s="85"/>
      <c r="K129" s="85"/>
      <c r="L129" s="85"/>
    </row>
    <row r="130" spans="1:12" ht="15.75" hidden="1" customHeight="1" x14ac:dyDescent="0.25">
      <c r="A130" s="7" t="s">
        <v>444</v>
      </c>
      <c r="B130" s="91" t="s">
        <v>77</v>
      </c>
      <c r="C130" s="87"/>
      <c r="D130" s="87"/>
      <c r="E130" s="87"/>
      <c r="F130" s="85"/>
      <c r="G130" s="85"/>
      <c r="H130" s="85"/>
      <c r="I130" s="85"/>
      <c r="J130" s="85"/>
      <c r="K130" s="85"/>
      <c r="L130" s="85"/>
    </row>
    <row r="131" spans="1:12" ht="15.75" hidden="1" customHeight="1" x14ac:dyDescent="0.25">
      <c r="A131" s="55" t="s">
        <v>445</v>
      </c>
      <c r="B131" s="92" t="s">
        <v>78</v>
      </c>
      <c r="C131" s="87"/>
      <c r="D131" s="87"/>
      <c r="E131" s="87"/>
      <c r="F131" s="85"/>
      <c r="G131" s="85"/>
      <c r="H131" s="85"/>
      <c r="I131" s="85"/>
      <c r="J131" s="85"/>
      <c r="K131" s="85"/>
      <c r="L131" s="85"/>
    </row>
    <row r="132" spans="1:12" ht="15.75" hidden="1" customHeight="1" x14ac:dyDescent="0.25">
      <c r="A132" s="3" t="s">
        <v>446</v>
      </c>
      <c r="B132" s="91" t="s">
        <v>79</v>
      </c>
      <c r="C132" s="87"/>
      <c r="D132" s="87"/>
      <c r="E132" s="87"/>
      <c r="F132" s="85"/>
      <c r="G132" s="85"/>
      <c r="H132" s="85"/>
      <c r="I132" s="85"/>
      <c r="J132" s="85"/>
      <c r="K132" s="85"/>
      <c r="L132" s="85"/>
    </row>
    <row r="133" spans="1:12" ht="15.75" hidden="1" customHeight="1" x14ac:dyDescent="0.25">
      <c r="A133" s="7" t="s">
        <v>419</v>
      </c>
      <c r="B133" s="91" t="s">
        <v>86</v>
      </c>
      <c r="C133" s="87"/>
      <c r="D133" s="87"/>
      <c r="E133" s="87"/>
      <c r="F133" s="85"/>
      <c r="G133" s="85"/>
      <c r="H133" s="85"/>
      <c r="I133" s="85"/>
      <c r="J133" s="85"/>
      <c r="K133" s="85"/>
      <c r="L133" s="85"/>
    </row>
    <row r="134" spans="1:12" ht="15.75" hidden="1" customHeight="1" x14ac:dyDescent="0.25">
      <c r="A134" s="3" t="s">
        <v>447</v>
      </c>
      <c r="B134" s="91" t="s">
        <v>87</v>
      </c>
      <c r="C134" s="87"/>
      <c r="D134" s="87"/>
      <c r="E134" s="87"/>
      <c r="F134" s="85"/>
      <c r="G134" s="85"/>
      <c r="H134" s="85"/>
      <c r="I134" s="85"/>
      <c r="J134" s="85"/>
      <c r="K134" s="85"/>
      <c r="L134" s="85"/>
    </row>
    <row r="135" spans="1:12" ht="15.75" hidden="1" customHeight="1" x14ac:dyDescent="0.25">
      <c r="A135" s="3" t="s">
        <v>448</v>
      </c>
      <c r="B135" s="91" t="s">
        <v>88</v>
      </c>
      <c r="C135" s="87"/>
      <c r="D135" s="87"/>
      <c r="E135" s="87"/>
      <c r="F135" s="85"/>
      <c r="G135" s="85"/>
      <c r="H135" s="85"/>
      <c r="I135" s="85"/>
      <c r="J135" s="85"/>
      <c r="K135" s="85"/>
      <c r="L135" s="85"/>
    </row>
    <row r="136" spans="1:12" ht="15.75" hidden="1" customHeight="1" x14ac:dyDescent="0.25">
      <c r="A136" s="3" t="s">
        <v>449</v>
      </c>
      <c r="B136" s="36"/>
      <c r="C136" s="36"/>
      <c r="D136" s="36"/>
      <c r="E136" s="36"/>
      <c r="F136" s="85"/>
      <c r="G136" s="85"/>
      <c r="H136" s="85"/>
      <c r="I136" s="85"/>
      <c r="J136" s="85"/>
      <c r="K136" s="85"/>
      <c r="L136" s="85"/>
    </row>
    <row r="137" spans="1:12" ht="14.25" customHeight="1" x14ac:dyDescent="0.25">
      <c r="A137" s="25"/>
      <c r="B137" s="90"/>
      <c r="C137" s="90"/>
      <c r="D137" s="90"/>
      <c r="E137" s="90"/>
      <c r="F137" s="85"/>
      <c r="G137" s="85"/>
      <c r="H137" s="85"/>
      <c r="I137" s="85"/>
      <c r="J137" s="85"/>
      <c r="K137" s="85"/>
      <c r="L137" s="85"/>
    </row>
    <row r="138" spans="1:12" ht="15.75" hidden="1" customHeight="1" x14ac:dyDescent="0.25"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</row>
    <row r="139" spans="1:12" x14ac:dyDescent="0.25">
      <c r="A139" s="8" t="s">
        <v>394</v>
      </c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</row>
    <row r="140" spans="1:12" ht="10.5" customHeight="1" x14ac:dyDescent="0.25"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</row>
    <row r="141" spans="1:12" x14ac:dyDescent="0.25">
      <c r="A141" s="283" t="s">
        <v>193</v>
      </c>
      <c r="B141" s="307" t="s">
        <v>72</v>
      </c>
      <c r="C141" s="306" t="s">
        <v>43</v>
      </c>
      <c r="D141" s="306"/>
      <c r="E141" s="306"/>
      <c r="F141" s="85"/>
      <c r="G141" s="85"/>
      <c r="H141" s="85"/>
      <c r="I141" s="85"/>
      <c r="J141" s="85"/>
      <c r="K141" s="85"/>
      <c r="L141" s="85"/>
    </row>
    <row r="142" spans="1:12" x14ac:dyDescent="0.25">
      <c r="A142" s="283"/>
      <c r="B142" s="307"/>
      <c r="C142" s="253" t="s">
        <v>399</v>
      </c>
      <c r="D142" s="253" t="s">
        <v>611</v>
      </c>
      <c r="E142" s="253" t="s">
        <v>650</v>
      </c>
      <c r="F142" s="85"/>
      <c r="G142" s="85"/>
      <c r="H142" s="85"/>
      <c r="I142" s="85"/>
      <c r="J142" s="85"/>
      <c r="K142" s="85"/>
      <c r="L142" s="85"/>
    </row>
    <row r="143" spans="1:12" ht="41.25" customHeight="1" x14ac:dyDescent="0.25">
      <c r="A143" s="283"/>
      <c r="B143" s="307"/>
      <c r="C143" s="50" t="s">
        <v>44</v>
      </c>
      <c r="D143" s="50" t="s">
        <v>45</v>
      </c>
      <c r="E143" s="50" t="s">
        <v>46</v>
      </c>
      <c r="F143" s="85"/>
      <c r="G143" s="85"/>
      <c r="H143" s="85"/>
      <c r="I143" s="85"/>
      <c r="J143" s="85"/>
      <c r="K143" s="85"/>
      <c r="L143" s="85"/>
    </row>
    <row r="144" spans="1:12" x14ac:dyDescent="0.25">
      <c r="A144" s="51" t="s">
        <v>190</v>
      </c>
      <c r="B144" s="48" t="s">
        <v>73</v>
      </c>
      <c r="C144" s="48" t="s">
        <v>47</v>
      </c>
      <c r="D144" s="48" t="s">
        <v>48</v>
      </c>
      <c r="E144" s="48" t="s">
        <v>49</v>
      </c>
      <c r="F144" s="85"/>
      <c r="G144" s="85"/>
      <c r="H144" s="85"/>
      <c r="I144" s="85"/>
      <c r="J144" s="85"/>
      <c r="K144" s="85"/>
      <c r="L144" s="85"/>
    </row>
    <row r="145" spans="1:12" ht="38.25" x14ac:dyDescent="0.25">
      <c r="A145" s="4" t="s">
        <v>409</v>
      </c>
      <c r="B145" s="48" t="s">
        <v>74</v>
      </c>
      <c r="C145" s="48">
        <v>0</v>
      </c>
      <c r="D145" s="48">
        <v>0</v>
      </c>
      <c r="E145" s="48">
        <v>0</v>
      </c>
      <c r="F145" s="85"/>
      <c r="G145" s="85"/>
      <c r="H145" s="85"/>
      <c r="I145" s="85"/>
      <c r="J145" s="85"/>
      <c r="K145" s="85"/>
      <c r="L145" s="85"/>
    </row>
    <row r="146" spans="1:12" ht="51.75" customHeight="1" x14ac:dyDescent="0.25">
      <c r="A146" s="4" t="s">
        <v>410</v>
      </c>
      <c r="B146" s="48" t="s">
        <v>75</v>
      </c>
      <c r="C146" s="48">
        <v>0</v>
      </c>
      <c r="D146" s="48">
        <v>0</v>
      </c>
      <c r="E146" s="48">
        <v>0</v>
      </c>
      <c r="F146" s="85"/>
      <c r="G146" s="85"/>
      <c r="H146" s="85"/>
      <c r="I146" s="85"/>
      <c r="J146" s="85"/>
      <c r="K146" s="85"/>
      <c r="L146" s="85"/>
    </row>
    <row r="147" spans="1:12" x14ac:dyDescent="0.25">
      <c r="A147" s="45" t="s">
        <v>450</v>
      </c>
      <c r="B147" s="48" t="s">
        <v>76</v>
      </c>
      <c r="C147" s="48">
        <f>C148+C149</f>
        <v>0</v>
      </c>
      <c r="D147" s="48">
        <f>D148+D149</f>
        <v>0</v>
      </c>
      <c r="E147" s="48">
        <f>E148+E149</f>
        <v>0</v>
      </c>
      <c r="F147" s="85"/>
      <c r="G147" s="85"/>
      <c r="H147" s="85"/>
      <c r="I147" s="85"/>
      <c r="J147" s="85"/>
      <c r="K147" s="85"/>
      <c r="L147" s="85"/>
    </row>
    <row r="148" spans="1:12" x14ac:dyDescent="0.25">
      <c r="A148" s="4" t="s">
        <v>253</v>
      </c>
      <c r="B148" s="48" t="s">
        <v>77</v>
      </c>
      <c r="C148" s="48">
        <v>0</v>
      </c>
      <c r="D148" s="48">
        <v>0</v>
      </c>
      <c r="E148" s="48">
        <v>0</v>
      </c>
      <c r="F148" s="85"/>
      <c r="G148" s="85"/>
      <c r="H148" s="85"/>
      <c r="I148" s="85"/>
      <c r="J148" s="85"/>
      <c r="K148" s="85"/>
      <c r="L148" s="85"/>
    </row>
    <row r="149" spans="1:12" ht="27.75" customHeight="1" x14ac:dyDescent="0.25">
      <c r="A149" s="4" t="s">
        <v>254</v>
      </c>
      <c r="B149" s="48" t="s">
        <v>78</v>
      </c>
      <c r="C149" s="48">
        <v>0</v>
      </c>
      <c r="D149" s="48">
        <v>0</v>
      </c>
      <c r="E149" s="48">
        <v>0</v>
      </c>
      <c r="F149" s="85"/>
      <c r="G149" s="85"/>
      <c r="H149" s="85"/>
      <c r="I149" s="85"/>
      <c r="J149" s="85"/>
      <c r="K149" s="85"/>
      <c r="L149" s="85"/>
    </row>
    <row r="150" spans="1:12" ht="26.25" customHeight="1" x14ac:dyDescent="0.25">
      <c r="A150" s="4" t="s">
        <v>419</v>
      </c>
      <c r="B150" s="48" t="s">
        <v>86</v>
      </c>
      <c r="C150" s="48">
        <v>0</v>
      </c>
      <c r="D150" s="48">
        <v>0</v>
      </c>
      <c r="E150" s="48">
        <v>0</v>
      </c>
      <c r="F150" s="85"/>
      <c r="G150" s="85"/>
      <c r="H150" s="85"/>
      <c r="I150" s="85"/>
      <c r="J150" s="85"/>
      <c r="K150" s="85"/>
      <c r="L150" s="85"/>
    </row>
    <row r="151" spans="1:12" ht="51.75" customHeight="1" x14ac:dyDescent="0.25">
      <c r="A151" s="4" t="s">
        <v>420</v>
      </c>
      <c r="B151" s="48" t="s">
        <v>87</v>
      </c>
      <c r="C151" s="48">
        <v>0</v>
      </c>
      <c r="D151" s="48">
        <v>0</v>
      </c>
      <c r="E151" s="48">
        <v>0</v>
      </c>
      <c r="F151" s="85"/>
      <c r="G151" s="85"/>
      <c r="H151" s="85"/>
      <c r="I151" s="85"/>
      <c r="J151" s="85"/>
      <c r="K151" s="85"/>
      <c r="L151" s="85"/>
    </row>
    <row r="152" spans="1:12" ht="27" customHeight="1" x14ac:dyDescent="0.25">
      <c r="A152" s="288" t="s">
        <v>609</v>
      </c>
      <c r="B152" s="270" t="s">
        <v>88</v>
      </c>
      <c r="C152" s="318">
        <f>C145-C146+C147-C150+C151</f>
        <v>0</v>
      </c>
      <c r="D152" s="318">
        <f>D145-D146+D147-D150+D151</f>
        <v>0</v>
      </c>
      <c r="E152" s="318">
        <f>E145-E146+E147-E150+E151</f>
        <v>0</v>
      </c>
      <c r="F152" s="85"/>
      <c r="G152" s="85"/>
      <c r="H152" s="85"/>
      <c r="I152" s="85"/>
      <c r="J152" s="85"/>
      <c r="K152" s="85"/>
      <c r="L152" s="85"/>
    </row>
    <row r="153" spans="1:12" ht="25.5" customHeight="1" x14ac:dyDescent="0.25">
      <c r="A153" s="289"/>
      <c r="B153" s="287"/>
      <c r="C153" s="286"/>
      <c r="D153" s="286"/>
      <c r="E153" s="286"/>
      <c r="F153" s="85"/>
      <c r="G153" s="85"/>
      <c r="H153" s="85"/>
      <c r="I153" s="85"/>
      <c r="J153" s="85"/>
      <c r="K153" s="85"/>
      <c r="L153" s="85"/>
    </row>
    <row r="155" spans="1:12" ht="18.75" hidden="1" x14ac:dyDescent="0.25">
      <c r="A155" s="8" t="s">
        <v>18</v>
      </c>
    </row>
    <row r="156" spans="1:12" ht="18.75" hidden="1" x14ac:dyDescent="0.25">
      <c r="A156" s="8" t="s">
        <v>19</v>
      </c>
    </row>
    <row r="157" spans="1:12" hidden="1" x14ac:dyDescent="0.25"/>
    <row r="158" spans="1:12" hidden="1" x14ac:dyDescent="0.25">
      <c r="A158" s="314" t="s">
        <v>11</v>
      </c>
      <c r="B158" s="311" t="s">
        <v>72</v>
      </c>
      <c r="C158" s="315" t="s">
        <v>43</v>
      </c>
      <c r="D158" s="315"/>
      <c r="E158" s="315"/>
    </row>
    <row r="159" spans="1:12" hidden="1" x14ac:dyDescent="0.25">
      <c r="A159" s="314"/>
      <c r="B159" s="311"/>
      <c r="C159" s="10" t="s">
        <v>51</v>
      </c>
      <c r="D159" s="10" t="s">
        <v>51</v>
      </c>
      <c r="E159" s="10" t="s">
        <v>51</v>
      </c>
    </row>
    <row r="160" spans="1:12" ht="47.25" hidden="1" x14ac:dyDescent="0.25">
      <c r="A160" s="314"/>
      <c r="B160" s="311"/>
      <c r="C160" s="12" t="s">
        <v>44</v>
      </c>
      <c r="D160" s="12" t="s">
        <v>45</v>
      </c>
      <c r="E160" s="12" t="s">
        <v>46</v>
      </c>
    </row>
    <row r="161" spans="1:5" hidden="1" x14ac:dyDescent="0.25">
      <c r="A161" s="2" t="s">
        <v>12</v>
      </c>
      <c r="B161" s="10" t="s">
        <v>73</v>
      </c>
      <c r="C161" s="10" t="s">
        <v>47</v>
      </c>
      <c r="D161" s="10" t="s">
        <v>48</v>
      </c>
      <c r="E161" s="10" t="s">
        <v>49</v>
      </c>
    </row>
    <row r="162" spans="1:5" ht="47.25" hidden="1" x14ac:dyDescent="0.25">
      <c r="A162" s="3" t="s">
        <v>13</v>
      </c>
      <c r="B162" s="16" t="s">
        <v>74</v>
      </c>
      <c r="C162" s="13"/>
      <c r="D162" s="13"/>
      <c r="E162" s="13"/>
    </row>
    <row r="163" spans="1:5" ht="78.75" hidden="1" x14ac:dyDescent="0.25">
      <c r="A163" s="3" t="s">
        <v>14</v>
      </c>
      <c r="B163" s="16" t="s">
        <v>75</v>
      </c>
      <c r="C163" s="13"/>
      <c r="D163" s="13"/>
      <c r="E163" s="13"/>
    </row>
    <row r="164" spans="1:5" ht="31.5" hidden="1" x14ac:dyDescent="0.25">
      <c r="A164" s="3" t="s">
        <v>20</v>
      </c>
      <c r="B164" s="16" t="s">
        <v>76</v>
      </c>
      <c r="C164" s="13"/>
      <c r="D164" s="13"/>
      <c r="E164" s="13"/>
    </row>
    <row r="165" spans="1:5" ht="31.5" hidden="1" x14ac:dyDescent="0.25">
      <c r="A165" s="4" t="s">
        <v>21</v>
      </c>
      <c r="B165" s="16" t="s">
        <v>77</v>
      </c>
      <c r="C165" s="13"/>
      <c r="D165" s="13"/>
      <c r="E165" s="13"/>
    </row>
    <row r="166" spans="1:5" ht="31.5" hidden="1" x14ac:dyDescent="0.25">
      <c r="A166" s="3" t="s">
        <v>22</v>
      </c>
      <c r="B166" s="16" t="s">
        <v>78</v>
      </c>
      <c r="C166" s="13"/>
      <c r="D166" s="13"/>
      <c r="E166" s="13"/>
    </row>
    <row r="167" spans="1:5" ht="47.25" hidden="1" x14ac:dyDescent="0.25">
      <c r="A167" s="3" t="s">
        <v>15</v>
      </c>
      <c r="B167" s="16" t="s">
        <v>86</v>
      </c>
      <c r="C167" s="13"/>
      <c r="D167" s="13"/>
      <c r="E167" s="13"/>
    </row>
    <row r="168" spans="1:5" ht="31.5" hidden="1" x14ac:dyDescent="0.25">
      <c r="A168" s="9" t="s">
        <v>23</v>
      </c>
      <c r="B168" s="18" t="s">
        <v>87</v>
      </c>
      <c r="C168" s="17"/>
      <c r="D168" s="17"/>
      <c r="E168" s="17"/>
    </row>
    <row r="169" spans="1:5" ht="63" hidden="1" x14ac:dyDescent="0.25">
      <c r="A169" s="3" t="s">
        <v>24</v>
      </c>
      <c r="B169" s="13"/>
      <c r="C169" s="13"/>
      <c r="D169" s="13"/>
      <c r="E169" s="13"/>
    </row>
    <row r="170" spans="1:5" ht="78.75" hidden="1" x14ac:dyDescent="0.25">
      <c r="A170" s="3" t="s">
        <v>17</v>
      </c>
      <c r="B170" s="16" t="s">
        <v>88</v>
      </c>
      <c r="C170" s="13"/>
      <c r="D170" s="13"/>
      <c r="E170" s="13"/>
    </row>
    <row r="172" spans="1:5" ht="18.75" hidden="1" x14ac:dyDescent="0.25">
      <c r="A172" s="8" t="s">
        <v>25</v>
      </c>
    </row>
    <row r="173" spans="1:5" ht="18.75" hidden="1" x14ac:dyDescent="0.25">
      <c r="A173" s="8" t="s">
        <v>26</v>
      </c>
    </row>
    <row r="174" spans="1:5" hidden="1" x14ac:dyDescent="0.25"/>
    <row r="175" spans="1:5" ht="18.75" hidden="1" x14ac:dyDescent="0.25">
      <c r="A175" s="8" t="s">
        <v>27</v>
      </c>
    </row>
    <row r="176" spans="1:5" ht="18.75" hidden="1" x14ac:dyDescent="0.25">
      <c r="A176" s="8" t="s">
        <v>28</v>
      </c>
    </row>
    <row r="177" spans="1:5" ht="18.75" hidden="1" x14ac:dyDescent="0.25">
      <c r="A177" s="8" t="s">
        <v>29</v>
      </c>
    </row>
    <row r="178" spans="1:5" ht="18.75" hidden="1" x14ac:dyDescent="0.25">
      <c r="A178" s="8" t="s">
        <v>30</v>
      </c>
    </row>
    <row r="179" spans="1:5" hidden="1" x14ac:dyDescent="0.25"/>
    <row r="180" spans="1:5" hidden="1" x14ac:dyDescent="0.25">
      <c r="A180" s="314" t="s">
        <v>11</v>
      </c>
      <c r="B180" s="311" t="s">
        <v>72</v>
      </c>
      <c r="C180" s="316" t="s">
        <v>43</v>
      </c>
      <c r="D180" s="316"/>
      <c r="E180" s="316"/>
    </row>
    <row r="181" spans="1:5" hidden="1" x14ac:dyDescent="0.25">
      <c r="A181" s="314"/>
      <c r="B181" s="311"/>
      <c r="C181" s="10" t="s">
        <v>51</v>
      </c>
      <c r="D181" s="10" t="s">
        <v>51</v>
      </c>
      <c r="E181" s="10" t="s">
        <v>51</v>
      </c>
    </row>
    <row r="182" spans="1:5" ht="47.25" hidden="1" x14ac:dyDescent="0.25">
      <c r="A182" s="314"/>
      <c r="B182" s="311"/>
      <c r="C182" s="12" t="s">
        <v>44</v>
      </c>
      <c r="D182" s="12" t="s">
        <v>45</v>
      </c>
      <c r="E182" s="12" t="s">
        <v>46</v>
      </c>
    </row>
    <row r="183" spans="1:5" hidden="1" x14ac:dyDescent="0.25">
      <c r="A183" s="2" t="s">
        <v>12</v>
      </c>
      <c r="B183" s="10" t="s">
        <v>73</v>
      </c>
      <c r="C183" s="10" t="s">
        <v>47</v>
      </c>
      <c r="D183" s="10" t="s">
        <v>48</v>
      </c>
      <c r="E183" s="10" t="s">
        <v>49</v>
      </c>
    </row>
    <row r="184" spans="1:5" ht="63" hidden="1" x14ac:dyDescent="0.25">
      <c r="A184" s="3" t="s">
        <v>31</v>
      </c>
      <c r="B184" s="16" t="s">
        <v>74</v>
      </c>
      <c r="C184" s="13">
        <v>0</v>
      </c>
      <c r="D184" s="13">
        <v>0</v>
      </c>
      <c r="E184" s="13">
        <v>0</v>
      </c>
    </row>
    <row r="185" spans="1:5" ht="63" hidden="1" x14ac:dyDescent="0.25">
      <c r="A185" s="3" t="s">
        <v>32</v>
      </c>
      <c r="B185" s="16" t="s">
        <v>75</v>
      </c>
      <c r="C185" s="20">
        <v>0</v>
      </c>
      <c r="D185" s="20">
        <v>0</v>
      </c>
      <c r="E185" s="20">
        <v>0</v>
      </c>
    </row>
    <row r="186" spans="1:5" hidden="1" x14ac:dyDescent="0.25">
      <c r="A186" s="6" t="s">
        <v>33</v>
      </c>
      <c r="B186" s="10" t="s">
        <v>76</v>
      </c>
      <c r="C186" s="13">
        <v>10840291</v>
      </c>
      <c r="D186" s="28">
        <v>10840291</v>
      </c>
      <c r="E186" s="28">
        <v>10840291</v>
      </c>
    </row>
    <row r="187" spans="1:5" ht="63" hidden="1" x14ac:dyDescent="0.25">
      <c r="A187" s="3" t="s">
        <v>34</v>
      </c>
      <c r="B187" s="16" t="s">
        <v>86</v>
      </c>
      <c r="C187" s="13">
        <v>0</v>
      </c>
      <c r="D187" s="13">
        <v>0</v>
      </c>
      <c r="E187" s="13">
        <v>0</v>
      </c>
    </row>
    <row r="188" spans="1:5" ht="63" hidden="1" x14ac:dyDescent="0.25">
      <c r="A188" s="3" t="s">
        <v>35</v>
      </c>
      <c r="B188" s="16" t="s">
        <v>87</v>
      </c>
      <c r="C188" s="14">
        <v>0</v>
      </c>
      <c r="D188" s="14">
        <v>0</v>
      </c>
      <c r="E188" s="14">
        <v>0</v>
      </c>
    </row>
    <row r="189" spans="1:5" ht="47.25" hidden="1" x14ac:dyDescent="0.25">
      <c r="A189" s="3" t="s">
        <v>36</v>
      </c>
      <c r="B189" s="16" t="s">
        <v>88</v>
      </c>
      <c r="C189" s="14">
        <f>C184-C185+C186-C187+C188</f>
        <v>10840291</v>
      </c>
      <c r="D189" s="21">
        <f>D184-D185+D186-D187+D188</f>
        <v>10840291</v>
      </c>
      <c r="E189" s="21">
        <f>E184-E185+E186-E187+E188</f>
        <v>10840291</v>
      </c>
    </row>
    <row r="193" spans="1:11" ht="18.75" hidden="1" x14ac:dyDescent="0.25">
      <c r="A193" s="8" t="s">
        <v>39</v>
      </c>
    </row>
    <row r="194" spans="1:11" hidden="1" x14ac:dyDescent="0.25"/>
    <row r="195" spans="1:11" ht="18.75" hidden="1" x14ac:dyDescent="0.25">
      <c r="A195" s="8" t="s">
        <v>40</v>
      </c>
    </row>
    <row r="196" spans="1:11" hidden="1" x14ac:dyDescent="0.25"/>
    <row r="197" spans="1:11" ht="24.75" hidden="1" customHeight="1" x14ac:dyDescent="0.25">
      <c r="A197" s="269" t="s">
        <v>37</v>
      </c>
      <c r="B197" s="311" t="s">
        <v>72</v>
      </c>
      <c r="C197" s="317" t="s">
        <v>62</v>
      </c>
      <c r="D197" s="317"/>
      <c r="E197" s="317"/>
      <c r="F197" s="317" t="s">
        <v>129</v>
      </c>
      <c r="G197" s="317"/>
      <c r="H197" s="317"/>
      <c r="I197" s="317" t="s">
        <v>130</v>
      </c>
      <c r="J197" s="317"/>
      <c r="K197" s="317"/>
    </row>
    <row r="198" spans="1:11" hidden="1" x14ac:dyDescent="0.25">
      <c r="A198" s="269"/>
      <c r="B198" s="311"/>
      <c r="C198" s="16" t="s">
        <v>38</v>
      </c>
      <c r="D198" s="16" t="s">
        <v>38</v>
      </c>
      <c r="E198" s="16" t="s">
        <v>38</v>
      </c>
      <c r="F198" s="16" t="s">
        <v>38</v>
      </c>
      <c r="G198" s="16" t="s">
        <v>38</v>
      </c>
      <c r="H198" s="16" t="s">
        <v>38</v>
      </c>
      <c r="I198" s="16" t="s">
        <v>38</v>
      </c>
      <c r="J198" s="16" t="s">
        <v>38</v>
      </c>
      <c r="K198" s="16" t="s">
        <v>38</v>
      </c>
    </row>
    <row r="199" spans="1:11" ht="78.75" hidden="1" x14ac:dyDescent="0.25">
      <c r="A199" s="269"/>
      <c r="B199" s="311"/>
      <c r="C199" s="15" t="s">
        <v>44</v>
      </c>
      <c r="D199" s="15" t="s">
        <v>45</v>
      </c>
      <c r="E199" s="15" t="s">
        <v>46</v>
      </c>
      <c r="F199" s="15" t="s">
        <v>44</v>
      </c>
      <c r="G199" s="15" t="s">
        <v>45</v>
      </c>
      <c r="H199" s="15" t="s">
        <v>46</v>
      </c>
      <c r="I199" s="15" t="s">
        <v>44</v>
      </c>
      <c r="J199" s="15" t="s">
        <v>45</v>
      </c>
      <c r="K199" s="15" t="s">
        <v>46</v>
      </c>
    </row>
    <row r="200" spans="1:11" hidden="1" x14ac:dyDescent="0.25">
      <c r="A200" s="2" t="s">
        <v>12</v>
      </c>
      <c r="B200" s="10" t="s">
        <v>73</v>
      </c>
      <c r="C200" s="10" t="s">
        <v>47</v>
      </c>
      <c r="D200" s="10" t="s">
        <v>48</v>
      </c>
      <c r="E200" s="10" t="s">
        <v>49</v>
      </c>
      <c r="F200" s="10" t="s">
        <v>52</v>
      </c>
      <c r="G200" s="10" t="s">
        <v>53</v>
      </c>
      <c r="H200" s="10" t="s">
        <v>91</v>
      </c>
      <c r="I200" s="10" t="s">
        <v>92</v>
      </c>
      <c r="J200" s="10" t="s">
        <v>93</v>
      </c>
      <c r="K200" s="10" t="s">
        <v>94</v>
      </c>
    </row>
    <row r="201" spans="1:11" hidden="1" x14ac:dyDescent="0.25">
      <c r="A201" s="5"/>
      <c r="B201" s="10" t="s">
        <v>98</v>
      </c>
      <c r="C201" s="14"/>
      <c r="D201" s="14"/>
      <c r="E201" s="14"/>
      <c r="F201" s="14"/>
      <c r="G201" s="14"/>
      <c r="H201" s="14"/>
      <c r="I201" s="14"/>
      <c r="J201" s="14"/>
      <c r="K201" s="14"/>
    </row>
    <row r="202" spans="1:11" hidden="1" x14ac:dyDescent="0.25">
      <c r="A202" s="5"/>
      <c r="B202" s="10" t="s">
        <v>99</v>
      </c>
      <c r="C202" s="14"/>
      <c r="D202" s="14"/>
      <c r="E202" s="14"/>
      <c r="F202" s="14"/>
      <c r="G202" s="14"/>
      <c r="H202" s="14"/>
      <c r="I202" s="14"/>
      <c r="J202" s="14"/>
      <c r="K202" s="14"/>
    </row>
    <row r="203" spans="1:11" hidden="1" x14ac:dyDescent="0.25">
      <c r="A203" s="5"/>
      <c r="B203" s="14"/>
      <c r="C203" s="14"/>
      <c r="D203" s="14"/>
      <c r="E203" s="14"/>
      <c r="F203" s="14"/>
      <c r="G203" s="14"/>
      <c r="H203" s="14"/>
      <c r="I203" s="14"/>
      <c r="J203" s="14"/>
      <c r="K203" s="14"/>
    </row>
    <row r="204" spans="1:11" hidden="1" x14ac:dyDescent="0.25">
      <c r="A204" s="2" t="s">
        <v>16</v>
      </c>
      <c r="B204" s="10" t="s">
        <v>95</v>
      </c>
      <c r="C204" s="10" t="s">
        <v>1</v>
      </c>
      <c r="D204" s="10" t="s">
        <v>1</v>
      </c>
      <c r="E204" s="10" t="s">
        <v>1</v>
      </c>
      <c r="F204" s="10" t="s">
        <v>1</v>
      </c>
      <c r="G204" s="10" t="s">
        <v>1</v>
      </c>
      <c r="H204" s="10" t="s">
        <v>1</v>
      </c>
      <c r="I204" s="14"/>
      <c r="J204" s="14"/>
      <c r="K204" s="14"/>
    </row>
    <row r="205" spans="1:11" hidden="1" x14ac:dyDescent="0.25"/>
    <row r="206" spans="1:11" hidden="1" x14ac:dyDescent="0.25"/>
    <row r="207" spans="1:11" ht="18.75" hidden="1" x14ac:dyDescent="0.25">
      <c r="A207" s="8" t="s">
        <v>41</v>
      </c>
    </row>
    <row r="208" spans="1:11" hidden="1" x14ac:dyDescent="0.25"/>
    <row r="209" spans="1:11" ht="18.75" hidden="1" x14ac:dyDescent="0.25">
      <c r="A209" s="8" t="s">
        <v>42</v>
      </c>
    </row>
    <row r="210" spans="1:11" hidden="1" x14ac:dyDescent="0.25"/>
    <row r="211" spans="1:11" hidden="1" x14ac:dyDescent="0.25">
      <c r="A211" s="269" t="s">
        <v>37</v>
      </c>
      <c r="B211" s="311" t="s">
        <v>72</v>
      </c>
      <c r="C211" s="312" t="s">
        <v>62</v>
      </c>
      <c r="D211" s="312"/>
      <c r="E211" s="312"/>
      <c r="F211" s="313" t="s">
        <v>129</v>
      </c>
      <c r="G211" s="313"/>
      <c r="H211" s="313"/>
      <c r="I211" s="312" t="s">
        <v>130</v>
      </c>
      <c r="J211" s="312"/>
      <c r="K211" s="312"/>
    </row>
    <row r="212" spans="1:11" hidden="1" x14ac:dyDescent="0.25">
      <c r="A212" s="269"/>
      <c r="B212" s="311"/>
      <c r="C212" s="16" t="s">
        <v>38</v>
      </c>
      <c r="D212" s="16" t="s">
        <v>38</v>
      </c>
      <c r="E212" s="16" t="s">
        <v>38</v>
      </c>
      <c r="F212" s="16" t="s">
        <v>38</v>
      </c>
      <c r="G212" s="16" t="s">
        <v>38</v>
      </c>
      <c r="H212" s="16" t="s">
        <v>38</v>
      </c>
      <c r="I212" s="16" t="s">
        <v>38</v>
      </c>
      <c r="J212" s="16" t="s">
        <v>38</v>
      </c>
      <c r="K212" s="16" t="s">
        <v>38</v>
      </c>
    </row>
    <row r="213" spans="1:11" ht="78.75" hidden="1" x14ac:dyDescent="0.25">
      <c r="A213" s="269"/>
      <c r="B213" s="311"/>
      <c r="C213" s="15" t="s">
        <v>44</v>
      </c>
      <c r="D213" s="15" t="s">
        <v>45</v>
      </c>
      <c r="E213" s="15" t="s">
        <v>46</v>
      </c>
      <c r="F213" s="15" t="s">
        <v>44</v>
      </c>
      <c r="G213" s="15" t="s">
        <v>45</v>
      </c>
      <c r="H213" s="15" t="s">
        <v>46</v>
      </c>
      <c r="I213" s="15" t="s">
        <v>44</v>
      </c>
      <c r="J213" s="15" t="s">
        <v>45</v>
      </c>
      <c r="K213" s="15" t="s">
        <v>46</v>
      </c>
    </row>
    <row r="214" spans="1:11" hidden="1" x14ac:dyDescent="0.25">
      <c r="A214" s="2" t="s">
        <v>12</v>
      </c>
      <c r="B214" s="10" t="s">
        <v>73</v>
      </c>
      <c r="C214" s="10" t="s">
        <v>47</v>
      </c>
      <c r="D214" s="10" t="s">
        <v>48</v>
      </c>
      <c r="E214" s="10" t="s">
        <v>49</v>
      </c>
      <c r="F214" s="10" t="s">
        <v>52</v>
      </c>
      <c r="G214" s="10" t="s">
        <v>53</v>
      </c>
      <c r="H214" s="10" t="s">
        <v>91</v>
      </c>
      <c r="I214" s="10" t="s">
        <v>92</v>
      </c>
      <c r="J214" s="10" t="s">
        <v>93</v>
      </c>
      <c r="K214" s="10" t="s">
        <v>94</v>
      </c>
    </row>
    <row r="215" spans="1:11" hidden="1" x14ac:dyDescent="0.25">
      <c r="A215" s="5"/>
      <c r="B215" s="10" t="s">
        <v>98</v>
      </c>
      <c r="C215" s="14"/>
      <c r="D215" s="14"/>
      <c r="E215" s="14"/>
      <c r="F215" s="14"/>
      <c r="G215" s="14"/>
      <c r="H215" s="14"/>
      <c r="I215" s="14"/>
      <c r="J215" s="14"/>
      <c r="K215" s="14"/>
    </row>
    <row r="216" spans="1:11" hidden="1" x14ac:dyDescent="0.25">
      <c r="A216" s="5"/>
      <c r="B216" s="10" t="s">
        <v>99</v>
      </c>
      <c r="C216" s="14"/>
      <c r="D216" s="14"/>
      <c r="E216" s="14"/>
      <c r="F216" s="14"/>
      <c r="G216" s="14"/>
      <c r="H216" s="14"/>
      <c r="I216" s="14"/>
      <c r="J216" s="14"/>
      <c r="K216" s="14"/>
    </row>
    <row r="217" spans="1:11" hidden="1" x14ac:dyDescent="0.25">
      <c r="A217" s="5"/>
      <c r="B217" s="14"/>
      <c r="C217" s="14"/>
      <c r="D217" s="14"/>
      <c r="E217" s="14"/>
      <c r="F217" s="14"/>
      <c r="G217" s="14"/>
      <c r="H217" s="14"/>
      <c r="I217" s="14"/>
      <c r="J217" s="14"/>
      <c r="K217" s="14"/>
    </row>
    <row r="218" spans="1:11" hidden="1" x14ac:dyDescent="0.25">
      <c r="A218" s="2" t="s">
        <v>16</v>
      </c>
      <c r="B218" s="10" t="s">
        <v>95</v>
      </c>
      <c r="C218" s="10" t="s">
        <v>1</v>
      </c>
      <c r="D218" s="10" t="s">
        <v>1</v>
      </c>
      <c r="E218" s="10" t="s">
        <v>1</v>
      </c>
      <c r="F218" s="10" t="s">
        <v>1</v>
      </c>
      <c r="G218" s="10" t="s">
        <v>1</v>
      </c>
      <c r="H218" s="10" t="s">
        <v>1</v>
      </c>
      <c r="I218" s="14"/>
      <c r="J218" s="14"/>
      <c r="K218" s="14"/>
    </row>
  </sheetData>
  <mergeCells count="69">
    <mergeCell ref="A152:A153"/>
    <mergeCell ref="A1:K1"/>
    <mergeCell ref="A3:K3"/>
    <mergeCell ref="A5:K5"/>
    <mergeCell ref="A50:K50"/>
    <mergeCell ref="A141:A143"/>
    <mergeCell ref="B141:B143"/>
    <mergeCell ref="C141:E141"/>
    <mergeCell ref="A107:A109"/>
    <mergeCell ref="B107:B109"/>
    <mergeCell ref="A27:K27"/>
    <mergeCell ref="A123:A125"/>
    <mergeCell ref="C107:E107"/>
    <mergeCell ref="F107:H107"/>
    <mergeCell ref="I107:K107"/>
    <mergeCell ref="A82:A84"/>
    <mergeCell ref="B152:B153"/>
    <mergeCell ref="C152:C153"/>
    <mergeCell ref="D152:D153"/>
    <mergeCell ref="E152:E153"/>
    <mergeCell ref="B123:B125"/>
    <mergeCell ref="C123:E123"/>
    <mergeCell ref="A197:A199"/>
    <mergeCell ref="B197:B199"/>
    <mergeCell ref="C197:E197"/>
    <mergeCell ref="F197:H197"/>
    <mergeCell ref="I197:K197"/>
    <mergeCell ref="A158:A160"/>
    <mergeCell ref="B158:B160"/>
    <mergeCell ref="C158:E158"/>
    <mergeCell ref="A180:A182"/>
    <mergeCell ref="B180:B182"/>
    <mergeCell ref="C180:E180"/>
    <mergeCell ref="A211:A213"/>
    <mergeCell ref="B211:B213"/>
    <mergeCell ref="C211:E211"/>
    <mergeCell ref="F211:H211"/>
    <mergeCell ref="I211:K211"/>
    <mergeCell ref="F82:H82"/>
    <mergeCell ref="I82:K82"/>
    <mergeCell ref="A95:A97"/>
    <mergeCell ref="B95:B97"/>
    <mergeCell ref="C95:E95"/>
    <mergeCell ref="F95:H95"/>
    <mergeCell ref="I95:K95"/>
    <mergeCell ref="B82:B84"/>
    <mergeCell ref="C82:E82"/>
    <mergeCell ref="F52:H52"/>
    <mergeCell ref="I52:K52"/>
    <mergeCell ref="A65:A67"/>
    <mergeCell ref="B65:B67"/>
    <mergeCell ref="C65:E65"/>
    <mergeCell ref="A52:A54"/>
    <mergeCell ref="B52:B54"/>
    <mergeCell ref="C52:E52"/>
    <mergeCell ref="A63:K63"/>
    <mergeCell ref="F29:H29"/>
    <mergeCell ref="I29:K29"/>
    <mergeCell ref="A41:A43"/>
    <mergeCell ref="B41:B43"/>
    <mergeCell ref="C41:E41"/>
    <mergeCell ref="F41:H41"/>
    <mergeCell ref="I41:K41"/>
    <mergeCell ref="A7:A9"/>
    <mergeCell ref="B7:B9"/>
    <mergeCell ref="C7:E7"/>
    <mergeCell ref="A29:A31"/>
    <mergeCell ref="B29:B31"/>
    <mergeCell ref="C29:E29"/>
  </mergeCells>
  <pageMargins left="0.39370078740157483" right="0.19685039370078741" top="0.39370078740157483" bottom="0.19685039370078741" header="0.31496062992125984" footer="0.31496062992125984"/>
  <pageSetup paperSize="9" scale="92" fitToHeight="0" orientation="landscape" r:id="rId1"/>
  <rowBreaks count="3" manualBreakCount="3">
    <brk id="74" max="10" man="1"/>
    <brk id="91" max="10" man="1"/>
    <brk id="17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</sheetPr>
  <dimension ref="A1:W217"/>
  <sheetViews>
    <sheetView view="pageBreakPreview" topLeftCell="A154" zoomScaleSheetLayoutView="100" workbookViewId="0">
      <selection activeCell="L167" sqref="L167"/>
    </sheetView>
  </sheetViews>
  <sheetFormatPr defaultRowHeight="15.75" x14ac:dyDescent="0.25"/>
  <cols>
    <col min="1" max="1" width="29.140625" style="22" customWidth="1"/>
    <col min="2" max="2" width="6.42578125" style="22" customWidth="1"/>
    <col min="3" max="4" width="12.85546875" style="22" customWidth="1"/>
    <col min="5" max="5" width="12" style="22" customWidth="1"/>
    <col min="6" max="6" width="13.28515625" style="22" customWidth="1"/>
    <col min="7" max="7" width="12.85546875" style="22" customWidth="1"/>
    <col min="8" max="8" width="11.5703125" style="22" customWidth="1"/>
    <col min="9" max="9" width="12.28515625" style="22" customWidth="1"/>
    <col min="10" max="10" width="11" style="22" customWidth="1"/>
    <col min="11" max="11" width="11.140625" style="22" customWidth="1"/>
    <col min="12" max="12" width="12.28515625" style="22" customWidth="1"/>
    <col min="13" max="13" width="10.5703125" style="22" customWidth="1"/>
    <col min="14" max="14" width="10.140625" style="22" customWidth="1"/>
    <col min="15" max="15" width="14.140625" style="22" customWidth="1"/>
    <col min="16" max="16384" width="9.140625" style="22"/>
  </cols>
  <sheetData>
    <row r="1" spans="1:23" s="1" customFormat="1" ht="16.5" customHeight="1" x14ac:dyDescent="0.25">
      <c r="A1" s="8" t="s">
        <v>510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11"/>
      <c r="P1" s="11"/>
      <c r="Q1" s="11"/>
      <c r="R1" s="11"/>
      <c r="S1" s="11"/>
      <c r="T1" s="11"/>
      <c r="U1" s="11"/>
      <c r="V1" s="11"/>
      <c r="W1" s="11"/>
    </row>
    <row r="2" spans="1:23" s="1" customFormat="1" x14ac:dyDescent="0.25"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11"/>
      <c r="P2" s="11"/>
      <c r="Q2" s="11"/>
      <c r="R2" s="11"/>
      <c r="S2" s="11"/>
      <c r="T2" s="11"/>
      <c r="U2" s="11"/>
      <c r="V2" s="11"/>
      <c r="W2" s="11"/>
    </row>
    <row r="3" spans="1:23" s="1" customFormat="1" ht="30" customHeight="1" x14ac:dyDescent="0.25">
      <c r="A3" s="310" t="s">
        <v>511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154"/>
      <c r="N3" s="56"/>
      <c r="O3" s="11"/>
      <c r="P3" s="11"/>
      <c r="Q3" s="11"/>
      <c r="R3" s="11"/>
      <c r="S3" s="11"/>
      <c r="T3" s="11"/>
      <c r="U3" s="11"/>
      <c r="V3" s="11"/>
      <c r="W3" s="11"/>
    </row>
    <row r="4" spans="1:23" s="1" customFormat="1" x14ac:dyDescent="0.25">
      <c r="A4" s="24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11"/>
      <c r="P4" s="11"/>
      <c r="Q4" s="11"/>
      <c r="R4" s="11"/>
      <c r="S4" s="11"/>
      <c r="T4" s="11"/>
      <c r="U4" s="11"/>
      <c r="V4" s="11"/>
      <c r="W4" s="11"/>
    </row>
    <row r="5" spans="1:23" s="1" customFormat="1" x14ac:dyDescent="0.25">
      <c r="A5" s="298" t="s">
        <v>193</v>
      </c>
      <c r="B5" s="269" t="s">
        <v>72</v>
      </c>
      <c r="C5" s="298" t="s">
        <v>43</v>
      </c>
      <c r="D5" s="298"/>
      <c r="E5" s="298"/>
      <c r="F5" s="85"/>
      <c r="G5" s="85"/>
      <c r="H5" s="85"/>
      <c r="I5" s="85"/>
      <c r="J5" s="85"/>
      <c r="K5" s="85"/>
      <c r="L5" s="85"/>
      <c r="M5" s="85"/>
      <c r="N5" s="85"/>
      <c r="O5" s="11"/>
      <c r="P5" s="11"/>
      <c r="Q5" s="11"/>
      <c r="R5" s="11"/>
      <c r="S5" s="11"/>
      <c r="T5" s="11"/>
      <c r="U5" s="11"/>
      <c r="V5" s="11"/>
      <c r="W5" s="11"/>
    </row>
    <row r="6" spans="1:23" s="1" customFormat="1" x14ac:dyDescent="0.25">
      <c r="A6" s="298"/>
      <c r="B6" s="269"/>
      <c r="C6" s="51" t="s">
        <v>399</v>
      </c>
      <c r="D6" s="51" t="s">
        <v>611</v>
      </c>
      <c r="E6" s="51" t="s">
        <v>650</v>
      </c>
      <c r="F6" s="85"/>
      <c r="G6" s="85"/>
      <c r="H6" s="85"/>
      <c r="I6" s="85"/>
      <c r="J6" s="85"/>
      <c r="K6" s="85"/>
      <c r="L6" s="85"/>
      <c r="M6" s="85"/>
      <c r="N6" s="85"/>
      <c r="O6" s="11"/>
      <c r="P6" s="11"/>
      <c r="Q6" s="11"/>
      <c r="R6" s="11"/>
      <c r="S6" s="11"/>
      <c r="T6" s="11"/>
      <c r="U6" s="11"/>
      <c r="V6" s="11"/>
      <c r="W6" s="11"/>
    </row>
    <row r="7" spans="1:23" s="1" customFormat="1" ht="38.25" x14ac:dyDescent="0.25">
      <c r="A7" s="298"/>
      <c r="B7" s="269"/>
      <c r="C7" s="44" t="s">
        <v>44</v>
      </c>
      <c r="D7" s="44" t="s">
        <v>45</v>
      </c>
      <c r="E7" s="44" t="s">
        <v>46</v>
      </c>
      <c r="F7" s="85"/>
      <c r="G7" s="85"/>
      <c r="H7" s="85"/>
      <c r="I7" s="85"/>
      <c r="J7" s="85"/>
      <c r="K7" s="85"/>
      <c r="L7" s="85"/>
      <c r="M7" s="85"/>
      <c r="N7" s="85"/>
      <c r="O7" s="11"/>
      <c r="P7" s="11"/>
      <c r="Q7" s="11"/>
      <c r="R7" s="11"/>
      <c r="S7" s="11"/>
      <c r="T7" s="11"/>
      <c r="U7" s="11"/>
      <c r="V7" s="11"/>
      <c r="W7" s="11"/>
    </row>
    <row r="8" spans="1:23" s="1" customFormat="1" x14ac:dyDescent="0.25">
      <c r="A8" s="51" t="s">
        <v>190</v>
      </c>
      <c r="B8" s="51" t="s">
        <v>73</v>
      </c>
      <c r="C8" s="51" t="s">
        <v>47</v>
      </c>
      <c r="D8" s="51" t="s">
        <v>48</v>
      </c>
      <c r="E8" s="51" t="s">
        <v>49</v>
      </c>
      <c r="F8" s="85"/>
      <c r="G8" s="85"/>
      <c r="H8" s="85"/>
      <c r="I8" s="85"/>
      <c r="J8" s="85"/>
      <c r="K8" s="85"/>
      <c r="L8" s="85"/>
      <c r="M8" s="85"/>
      <c r="N8" s="85"/>
      <c r="O8" s="11"/>
      <c r="P8" s="11"/>
      <c r="Q8" s="11"/>
      <c r="R8" s="11"/>
      <c r="S8" s="11"/>
      <c r="T8" s="11"/>
      <c r="U8" s="11"/>
      <c r="V8" s="11"/>
      <c r="W8" s="11"/>
    </row>
    <row r="9" spans="1:23" s="1" customFormat="1" ht="38.25" customHeight="1" x14ac:dyDescent="0.25">
      <c r="A9" s="4" t="s">
        <v>194</v>
      </c>
      <c r="B9" s="51" t="s">
        <v>74</v>
      </c>
      <c r="C9" s="48">
        <v>0</v>
      </c>
      <c r="D9" s="48">
        <v>0</v>
      </c>
      <c r="E9" s="48">
        <v>0</v>
      </c>
      <c r="F9" s="85"/>
      <c r="G9" s="85"/>
      <c r="H9" s="85"/>
      <c r="I9" s="85"/>
      <c r="J9" s="85"/>
      <c r="K9" s="85"/>
      <c r="L9" s="85"/>
      <c r="M9" s="85"/>
      <c r="N9" s="85"/>
      <c r="O9" s="11"/>
      <c r="P9" s="11"/>
      <c r="Q9" s="11"/>
      <c r="R9" s="11"/>
      <c r="S9" s="11"/>
      <c r="T9" s="11"/>
      <c r="U9" s="11"/>
      <c r="V9" s="11"/>
      <c r="W9" s="11"/>
    </row>
    <row r="10" spans="1:23" s="1" customFormat="1" ht="51" x14ac:dyDescent="0.25">
      <c r="A10" s="4" t="s">
        <v>195</v>
      </c>
      <c r="B10" s="51" t="s">
        <v>75</v>
      </c>
      <c r="C10" s="48">
        <v>0</v>
      </c>
      <c r="D10" s="48">
        <v>0</v>
      </c>
      <c r="E10" s="48">
        <v>0</v>
      </c>
      <c r="F10" s="85"/>
      <c r="G10" s="85"/>
      <c r="H10" s="85"/>
      <c r="I10" s="85"/>
      <c r="J10" s="85"/>
      <c r="K10" s="85"/>
      <c r="L10" s="85"/>
      <c r="M10" s="85"/>
      <c r="N10" s="85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" customFormat="1" x14ac:dyDescent="0.25">
      <c r="A11" s="58" t="s">
        <v>196</v>
      </c>
      <c r="B11" s="51" t="s">
        <v>76</v>
      </c>
      <c r="C11" s="48">
        <f>L55</f>
        <v>11266961.99734468</v>
      </c>
      <c r="D11" s="48">
        <f>L94</f>
        <v>11266961.99734468</v>
      </c>
      <c r="E11" s="48">
        <f>L133</f>
        <v>11266961.99734468</v>
      </c>
      <c r="F11" s="85"/>
      <c r="G11" s="85"/>
      <c r="H11" s="85"/>
      <c r="I11" s="85"/>
      <c r="J11" s="85"/>
      <c r="K11" s="85"/>
      <c r="L11" s="85"/>
      <c r="M11" s="85"/>
      <c r="N11" s="85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" customFormat="1" ht="39.75" customHeight="1" x14ac:dyDescent="0.25">
      <c r="A12" s="4" t="s">
        <v>197</v>
      </c>
      <c r="B12" s="51" t="s">
        <v>86</v>
      </c>
      <c r="C12" s="48">
        <v>0</v>
      </c>
      <c r="D12" s="48">
        <v>0</v>
      </c>
      <c r="E12" s="48">
        <v>0</v>
      </c>
      <c r="F12" s="85"/>
      <c r="G12" s="85"/>
      <c r="H12" s="85"/>
      <c r="I12" s="85"/>
      <c r="J12" s="85"/>
      <c r="K12" s="85"/>
      <c r="L12" s="85"/>
      <c r="M12" s="85"/>
      <c r="N12" s="85"/>
      <c r="O12" s="11"/>
      <c r="P12" s="11"/>
      <c r="Q12" s="11"/>
      <c r="R12" s="11"/>
      <c r="S12" s="11"/>
      <c r="T12" s="11"/>
      <c r="U12" s="11"/>
      <c r="V12" s="11"/>
      <c r="W12" s="11"/>
    </row>
    <row r="13" spans="1:23" s="1" customFormat="1" ht="51" x14ac:dyDescent="0.25">
      <c r="A13" s="4" t="s">
        <v>198</v>
      </c>
      <c r="B13" s="51" t="s">
        <v>87</v>
      </c>
      <c r="C13" s="48">
        <v>0</v>
      </c>
      <c r="D13" s="48">
        <v>0</v>
      </c>
      <c r="E13" s="48">
        <v>0</v>
      </c>
      <c r="F13" s="85"/>
      <c r="G13" s="85"/>
      <c r="H13" s="85"/>
      <c r="I13" s="85"/>
      <c r="J13" s="85"/>
      <c r="K13" s="85"/>
      <c r="L13" s="85"/>
      <c r="M13" s="85"/>
      <c r="N13" s="85"/>
      <c r="O13" s="11"/>
      <c r="P13" s="11"/>
      <c r="Q13" s="11"/>
      <c r="R13" s="11"/>
      <c r="S13" s="11"/>
      <c r="T13" s="11"/>
      <c r="U13" s="11"/>
      <c r="V13" s="11"/>
      <c r="W13" s="11"/>
    </row>
    <row r="14" spans="1:23" s="1" customFormat="1" ht="38.25" x14ac:dyDescent="0.25">
      <c r="A14" s="4" t="s">
        <v>199</v>
      </c>
      <c r="B14" s="51" t="s">
        <v>88</v>
      </c>
      <c r="C14" s="30">
        <f>C11</f>
        <v>11266961.99734468</v>
      </c>
      <c r="D14" s="30">
        <f t="shared" ref="D14:E14" si="0">D11</f>
        <v>11266961.99734468</v>
      </c>
      <c r="E14" s="30">
        <f t="shared" si="0"/>
        <v>11266961.99734468</v>
      </c>
      <c r="F14" s="85"/>
      <c r="G14" s="85"/>
      <c r="H14" s="85"/>
      <c r="I14" s="85"/>
      <c r="J14" s="85"/>
      <c r="K14" s="85"/>
      <c r="L14" s="85"/>
      <c r="M14" s="85"/>
      <c r="N14" s="85"/>
      <c r="O14" s="11"/>
      <c r="P14" s="11"/>
      <c r="Q14" s="11"/>
      <c r="R14" s="11"/>
      <c r="S14" s="11"/>
      <c r="T14" s="11"/>
      <c r="U14" s="11"/>
      <c r="V14" s="11"/>
      <c r="W14" s="11"/>
    </row>
    <row r="15" spans="1:23" s="1" customFormat="1" x14ac:dyDescent="0.25">
      <c r="A15" s="24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11"/>
      <c r="P15" s="11"/>
      <c r="Q15" s="11"/>
      <c r="R15" s="11"/>
      <c r="S15" s="11"/>
      <c r="T15" s="11"/>
      <c r="U15" s="11"/>
      <c r="V15" s="11"/>
      <c r="W15" s="11"/>
    </row>
    <row r="16" spans="1:23" s="1" customFormat="1" x14ac:dyDescent="0.25">
      <c r="A16" s="24" t="s">
        <v>452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11"/>
      <c r="P16" s="11"/>
      <c r="Q16" s="11"/>
      <c r="R16" s="11"/>
      <c r="S16" s="11"/>
      <c r="T16" s="11"/>
      <c r="U16" s="11"/>
      <c r="V16" s="11"/>
      <c r="W16" s="11"/>
    </row>
    <row r="17" spans="1:23" s="1" customFormat="1" ht="9.75" customHeight="1" x14ac:dyDescent="0.25">
      <c r="A17" s="24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11"/>
      <c r="P17" s="11"/>
      <c r="Q17" s="11"/>
      <c r="R17" s="11"/>
      <c r="S17" s="11"/>
      <c r="T17" s="11"/>
      <c r="U17" s="11"/>
      <c r="V17" s="11"/>
      <c r="W17" s="11"/>
    </row>
    <row r="18" spans="1:23" s="1" customFormat="1" x14ac:dyDescent="0.25">
      <c r="A18" s="1" t="s">
        <v>653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11"/>
      <c r="P18" s="11"/>
      <c r="Q18" s="11"/>
      <c r="R18" s="11"/>
      <c r="S18" s="11"/>
      <c r="T18" s="11"/>
      <c r="U18" s="11"/>
      <c r="V18" s="11"/>
      <c r="W18" s="11"/>
    </row>
    <row r="19" spans="1:23" s="1" customFormat="1" x14ac:dyDescent="0.25"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11"/>
      <c r="P19" s="11"/>
      <c r="Q19" s="11"/>
      <c r="R19" s="11"/>
      <c r="S19" s="11"/>
      <c r="T19" s="11"/>
      <c r="U19" s="11"/>
      <c r="V19" s="11"/>
      <c r="W19" s="11"/>
    </row>
    <row r="20" spans="1:23" s="1" customFormat="1" ht="15.75" customHeight="1" x14ac:dyDescent="0.25">
      <c r="A20" s="299" t="s">
        <v>339</v>
      </c>
      <c r="B20" s="308" t="s">
        <v>72</v>
      </c>
      <c r="C20" s="308" t="s">
        <v>57</v>
      </c>
      <c r="D20" s="275" t="s">
        <v>107</v>
      </c>
      <c r="E20" s="275"/>
      <c r="F20" s="275"/>
      <c r="G20" s="275"/>
      <c r="H20" s="275"/>
      <c r="I20" s="275"/>
      <c r="J20" s="275"/>
      <c r="K20" s="275"/>
      <c r="L20" s="307" t="s">
        <v>108</v>
      </c>
      <c r="M20" s="155"/>
      <c r="N20" s="85"/>
      <c r="O20" s="11"/>
      <c r="P20" s="11"/>
      <c r="Q20" s="11"/>
      <c r="R20" s="11"/>
      <c r="S20" s="11"/>
      <c r="T20" s="11"/>
      <c r="U20" s="11"/>
      <c r="V20" s="11"/>
      <c r="W20" s="11"/>
    </row>
    <row r="21" spans="1:23" s="1" customFormat="1" x14ac:dyDescent="0.25">
      <c r="A21" s="299"/>
      <c r="B21" s="308"/>
      <c r="C21" s="308"/>
      <c r="D21" s="307" t="s">
        <v>340</v>
      </c>
      <c r="E21" s="275" t="s">
        <v>109</v>
      </c>
      <c r="F21" s="275"/>
      <c r="G21" s="275"/>
      <c r="H21" s="275"/>
      <c r="I21" s="275"/>
      <c r="J21" s="275"/>
      <c r="K21" s="275"/>
      <c r="L21" s="307"/>
      <c r="M21" s="155"/>
      <c r="N21" s="85"/>
      <c r="O21" s="11"/>
      <c r="P21" s="11"/>
      <c r="Q21" s="11"/>
      <c r="R21" s="11"/>
      <c r="S21" s="11"/>
      <c r="T21" s="11"/>
      <c r="U21" s="11"/>
      <c r="V21" s="11"/>
      <c r="W21" s="11"/>
    </row>
    <row r="22" spans="1:23" s="1" customFormat="1" ht="25.5" customHeight="1" x14ac:dyDescent="0.25">
      <c r="A22" s="299"/>
      <c r="B22" s="308"/>
      <c r="C22" s="308"/>
      <c r="D22" s="307"/>
      <c r="E22" s="307" t="s">
        <v>58</v>
      </c>
      <c r="F22" s="307" t="s">
        <v>179</v>
      </c>
      <c r="G22" s="329" t="s">
        <v>555</v>
      </c>
      <c r="H22" s="308" t="s">
        <v>110</v>
      </c>
      <c r="I22" s="308"/>
      <c r="J22" s="308" t="s">
        <v>111</v>
      </c>
      <c r="K22" s="308"/>
      <c r="L22" s="307"/>
      <c r="M22" s="155"/>
      <c r="N22" s="85"/>
      <c r="O22" s="11"/>
      <c r="P22" s="11"/>
      <c r="Q22" s="11"/>
      <c r="R22" s="11"/>
      <c r="S22" s="11"/>
      <c r="T22" s="11"/>
      <c r="U22" s="11"/>
      <c r="V22" s="11"/>
      <c r="W22" s="11"/>
    </row>
    <row r="23" spans="1:23" s="1" customFormat="1" ht="43.5" customHeight="1" x14ac:dyDescent="0.25">
      <c r="A23" s="299"/>
      <c r="B23" s="308"/>
      <c r="C23" s="308"/>
      <c r="D23" s="307"/>
      <c r="E23" s="307"/>
      <c r="F23" s="307"/>
      <c r="G23" s="330"/>
      <c r="H23" s="37" t="s">
        <v>112</v>
      </c>
      <c r="I23" s="50" t="s">
        <v>113</v>
      </c>
      <c r="J23" s="37" t="s">
        <v>112</v>
      </c>
      <c r="K23" s="50" t="s">
        <v>114</v>
      </c>
      <c r="L23" s="307"/>
      <c r="M23" s="155"/>
      <c r="N23" s="85"/>
      <c r="O23" s="11"/>
      <c r="P23" s="11"/>
      <c r="Q23" s="11"/>
      <c r="R23" s="11"/>
      <c r="S23" s="11"/>
      <c r="T23" s="11"/>
      <c r="U23" s="11"/>
      <c r="V23" s="11"/>
      <c r="W23" s="11"/>
    </row>
    <row r="24" spans="1:23" s="1" customFormat="1" x14ac:dyDescent="0.25">
      <c r="A24" s="51" t="s">
        <v>190</v>
      </c>
      <c r="B24" s="48" t="s">
        <v>73</v>
      </c>
      <c r="C24" s="48" t="s">
        <v>47</v>
      </c>
      <c r="D24" s="48" t="s">
        <v>48</v>
      </c>
      <c r="E24" s="48" t="s">
        <v>49</v>
      </c>
      <c r="F24" s="48" t="s">
        <v>52</v>
      </c>
      <c r="G24" s="93">
        <v>7</v>
      </c>
      <c r="H24" s="93">
        <v>8</v>
      </c>
      <c r="I24" s="93">
        <v>9</v>
      </c>
      <c r="J24" s="93">
        <v>10</v>
      </c>
      <c r="K24" s="93">
        <v>11</v>
      </c>
      <c r="L24" s="93">
        <v>12</v>
      </c>
      <c r="M24" s="156"/>
      <c r="N24" s="85"/>
      <c r="O24" s="11"/>
      <c r="P24" s="11"/>
      <c r="Q24" s="11"/>
      <c r="R24" s="11"/>
      <c r="S24" s="11"/>
      <c r="T24" s="11"/>
      <c r="U24" s="11"/>
      <c r="V24" s="11"/>
      <c r="W24" s="11"/>
    </row>
    <row r="25" spans="1:23" s="1" customFormat="1" x14ac:dyDescent="0.25">
      <c r="A25" s="19" t="s">
        <v>557</v>
      </c>
      <c r="B25" s="210" t="s">
        <v>98</v>
      </c>
      <c r="C25" s="134">
        <v>1</v>
      </c>
      <c r="D25" s="210">
        <f>E25+F25+G25+I25+K25</f>
        <v>89718.021759999989</v>
      </c>
      <c r="E25" s="248">
        <v>20170.419999999998</v>
      </c>
      <c r="F25" s="210">
        <f t="shared" ref="F25:F52" si="1">ROUND((E25*0.2),2)</f>
        <v>4034.08</v>
      </c>
      <c r="G25" s="210">
        <f>E25*1.58</f>
        <v>31869.263599999998</v>
      </c>
      <c r="H25" s="210">
        <v>30</v>
      </c>
      <c r="I25" s="210">
        <f>(E25+F25+G25)*H25/100</f>
        <v>16822.129079999999</v>
      </c>
      <c r="J25" s="210">
        <v>30</v>
      </c>
      <c r="K25" s="210">
        <f>(E25+F25+G25)*J25/100</f>
        <v>16822.129079999999</v>
      </c>
      <c r="L25" s="210">
        <f>C25*D25*12</f>
        <v>1076616.2611199999</v>
      </c>
      <c r="M25" s="89"/>
      <c r="N25" s="85"/>
      <c r="O25" s="11"/>
      <c r="P25" s="11"/>
      <c r="Q25" s="11"/>
      <c r="R25" s="11"/>
      <c r="S25" s="11"/>
      <c r="T25" s="11"/>
      <c r="U25" s="11"/>
      <c r="V25" s="11"/>
      <c r="W25" s="11"/>
    </row>
    <row r="26" spans="1:23" s="1" customFormat="1" ht="25.5" x14ac:dyDescent="0.25">
      <c r="A26" s="19" t="s">
        <v>558</v>
      </c>
      <c r="B26" s="210" t="s">
        <v>99</v>
      </c>
      <c r="C26" s="134">
        <v>1</v>
      </c>
      <c r="D26" s="210">
        <f t="shared" ref="D26:D52" si="2">E26+F26+G26+I26+K26</f>
        <v>51987.367042190403</v>
      </c>
      <c r="E26" s="248">
        <v>18153.38</v>
      </c>
      <c r="F26" s="210">
        <f t="shared" si="1"/>
        <v>3630.68</v>
      </c>
      <c r="G26" s="210">
        <f>E26*0.58986505</f>
        <v>10708.044401369001</v>
      </c>
      <c r="H26" s="210">
        <v>30</v>
      </c>
      <c r="I26" s="210">
        <f t="shared" ref="I26:I52" si="3">(E26+F26+G26)*H26/100</f>
        <v>9747.6313204107009</v>
      </c>
      <c r="J26" s="210">
        <v>30</v>
      </c>
      <c r="K26" s="210">
        <f t="shared" ref="K26:K52" si="4">(E26+F26+G26)*J26/100</f>
        <v>9747.6313204107009</v>
      </c>
      <c r="L26" s="210">
        <f t="shared" ref="L26:L47" si="5">C26*D26*12</f>
        <v>623848.40450628486</v>
      </c>
      <c r="M26" s="89"/>
      <c r="N26" s="85"/>
      <c r="O26" s="11"/>
      <c r="P26" s="11"/>
      <c r="Q26" s="11"/>
      <c r="R26" s="11"/>
      <c r="S26" s="11"/>
      <c r="T26" s="11"/>
      <c r="U26" s="11"/>
      <c r="V26" s="11"/>
      <c r="W26" s="11"/>
    </row>
    <row r="27" spans="1:23" s="1" customFormat="1" ht="25.5" x14ac:dyDescent="0.25">
      <c r="A27" s="19" t="s">
        <v>578</v>
      </c>
      <c r="B27" s="210" t="s">
        <v>152</v>
      </c>
      <c r="C27" s="134">
        <v>0.5</v>
      </c>
      <c r="D27" s="210">
        <f>E27+F27+G27+I27+K27</f>
        <v>27105.119999999999</v>
      </c>
      <c r="E27" s="134">
        <v>8067</v>
      </c>
      <c r="F27" s="210">
        <f>ROUND((E27*0.2),2)</f>
        <v>1613.4</v>
      </c>
      <c r="G27" s="210">
        <f>E27*0.9</f>
        <v>7260.3</v>
      </c>
      <c r="H27" s="210">
        <v>30</v>
      </c>
      <c r="I27" s="210">
        <f>(E27+F27+G27)*H27/100</f>
        <v>5082.21</v>
      </c>
      <c r="J27" s="210">
        <v>30</v>
      </c>
      <c r="K27" s="210">
        <f>(E27+F27+G27)*J27/100</f>
        <v>5082.21</v>
      </c>
      <c r="L27" s="210">
        <f>C27*D27*12</f>
        <v>162630.72</v>
      </c>
      <c r="M27" s="89"/>
      <c r="N27" s="85"/>
      <c r="O27" s="11"/>
      <c r="P27" s="11"/>
      <c r="Q27" s="11"/>
      <c r="R27" s="11"/>
      <c r="S27" s="11"/>
      <c r="T27" s="11"/>
      <c r="U27" s="11"/>
      <c r="V27" s="11"/>
      <c r="W27" s="11"/>
    </row>
    <row r="28" spans="1:23" s="1" customFormat="1" x14ac:dyDescent="0.25">
      <c r="A28" s="19" t="s">
        <v>579</v>
      </c>
      <c r="B28" s="210" t="s">
        <v>154</v>
      </c>
      <c r="C28" s="134">
        <v>0.25</v>
      </c>
      <c r="D28" s="210">
        <f>E28+F28+G28+I28+K28</f>
        <v>26040</v>
      </c>
      <c r="E28" s="134">
        <v>4650</v>
      </c>
      <c r="F28" s="210">
        <f>ROUND((E28*0.2),2)</f>
        <v>930</v>
      </c>
      <c r="G28" s="210">
        <f>E28*2.3</f>
        <v>10695</v>
      </c>
      <c r="H28" s="210">
        <v>30</v>
      </c>
      <c r="I28" s="210">
        <f>(E28+F28+G28)*H28/100</f>
        <v>4882.5</v>
      </c>
      <c r="J28" s="210">
        <v>30</v>
      </c>
      <c r="K28" s="210">
        <f>(E28+F28+G28)*J28/100</f>
        <v>4882.5</v>
      </c>
      <c r="L28" s="210">
        <f>C28*D28*12</f>
        <v>78120</v>
      </c>
      <c r="M28" s="89"/>
      <c r="N28" s="85"/>
      <c r="O28" s="11"/>
      <c r="P28" s="11"/>
      <c r="Q28" s="11"/>
      <c r="R28" s="11"/>
      <c r="S28" s="11"/>
      <c r="T28" s="11"/>
      <c r="U28" s="11"/>
      <c r="V28" s="11"/>
      <c r="W28" s="11"/>
    </row>
    <row r="29" spans="1:23" s="1" customFormat="1" x14ac:dyDescent="0.25">
      <c r="A29" s="19" t="s">
        <v>153</v>
      </c>
      <c r="B29" s="210" t="s">
        <v>155</v>
      </c>
      <c r="C29" s="134">
        <v>1.25</v>
      </c>
      <c r="D29" s="210">
        <f>E29+F29+G29+I29+K29</f>
        <v>26040</v>
      </c>
      <c r="E29" s="134">
        <v>4650</v>
      </c>
      <c r="F29" s="210">
        <f>ROUND((E29*0.2),2)</f>
        <v>930</v>
      </c>
      <c r="G29" s="210">
        <f>E29*2.3</f>
        <v>10695</v>
      </c>
      <c r="H29" s="210">
        <v>30</v>
      </c>
      <c r="I29" s="210">
        <f>(E29+F29+G29)*H29/100</f>
        <v>4882.5</v>
      </c>
      <c r="J29" s="210">
        <v>30</v>
      </c>
      <c r="K29" s="210">
        <f>(E29+F29+G29)*J29/100</f>
        <v>4882.5</v>
      </c>
      <c r="L29" s="210">
        <f>C29*D29*12-21106</f>
        <v>369494</v>
      </c>
      <c r="M29" s="89"/>
      <c r="N29" s="85"/>
      <c r="O29" s="11"/>
      <c r="P29" s="11"/>
      <c r="Q29" s="11"/>
      <c r="R29" s="11"/>
      <c r="S29" s="11"/>
      <c r="T29" s="11"/>
      <c r="U29" s="11"/>
      <c r="V29" s="11"/>
      <c r="W29" s="11"/>
    </row>
    <row r="30" spans="1:23" s="1" customFormat="1" x14ac:dyDescent="0.25">
      <c r="A30" s="19" t="s">
        <v>153</v>
      </c>
      <c r="B30" s="210" t="s">
        <v>156</v>
      </c>
      <c r="C30" s="134">
        <v>0.25</v>
      </c>
      <c r="D30" s="210">
        <f>E30+F30+G30+I30+K30</f>
        <v>26233.440000000002</v>
      </c>
      <c r="E30" s="134">
        <v>3813</v>
      </c>
      <c r="F30" s="210">
        <f>ROUND((E30*0.2),2)</f>
        <v>762.6</v>
      </c>
      <c r="G30" s="210">
        <f>E30*3.1</f>
        <v>11820.300000000001</v>
      </c>
      <c r="H30" s="210">
        <v>30</v>
      </c>
      <c r="I30" s="210">
        <f>(E30+F30+G30)*H30/100</f>
        <v>4918.7700000000004</v>
      </c>
      <c r="J30" s="210">
        <v>30</v>
      </c>
      <c r="K30" s="210">
        <f>(E30+F30+G30)*J30/100</f>
        <v>4918.7700000000004</v>
      </c>
      <c r="L30" s="210">
        <f>C30*D30*12</f>
        <v>78700.320000000007</v>
      </c>
      <c r="M30" s="89"/>
      <c r="N30" s="85"/>
      <c r="O30" s="11"/>
      <c r="P30" s="11"/>
      <c r="Q30" s="11"/>
      <c r="R30" s="11"/>
      <c r="S30" s="11"/>
      <c r="T30" s="11"/>
      <c r="U30" s="11"/>
      <c r="V30" s="11"/>
      <c r="W30" s="11"/>
    </row>
    <row r="31" spans="1:23" s="1" customFormat="1" x14ac:dyDescent="0.25">
      <c r="A31" s="19" t="s">
        <v>556</v>
      </c>
      <c r="B31" s="210" t="s">
        <v>157</v>
      </c>
      <c r="C31" s="134">
        <v>0.5</v>
      </c>
      <c r="D31" s="210">
        <f t="shared" si="2"/>
        <v>30447.199999999997</v>
      </c>
      <c r="E31" s="134">
        <v>10874</v>
      </c>
      <c r="F31" s="210">
        <f t="shared" si="1"/>
        <v>2174.8000000000002</v>
      </c>
      <c r="G31" s="210">
        <f>E31*0.55</f>
        <v>5980.7000000000007</v>
      </c>
      <c r="H31" s="210">
        <v>30</v>
      </c>
      <c r="I31" s="210">
        <f t="shared" si="3"/>
        <v>5708.85</v>
      </c>
      <c r="J31" s="210">
        <v>30</v>
      </c>
      <c r="K31" s="210">
        <f t="shared" si="4"/>
        <v>5708.85</v>
      </c>
      <c r="L31" s="210">
        <f t="shared" si="5"/>
        <v>182683.19999999998</v>
      </c>
      <c r="M31" s="89"/>
      <c r="N31" s="85"/>
      <c r="O31" s="11"/>
      <c r="P31" s="11"/>
      <c r="Q31" s="11"/>
      <c r="R31" s="11"/>
      <c r="S31" s="11"/>
      <c r="T31" s="11"/>
      <c r="U31" s="11"/>
      <c r="V31" s="11"/>
      <c r="W31" s="11"/>
    </row>
    <row r="32" spans="1:23" s="1" customFormat="1" x14ac:dyDescent="0.25">
      <c r="A32" s="19" t="s">
        <v>559</v>
      </c>
      <c r="B32" s="210" t="s">
        <v>158</v>
      </c>
      <c r="C32" s="134">
        <v>1</v>
      </c>
      <c r="D32" s="210">
        <f t="shared" si="2"/>
        <v>29652.217643199998</v>
      </c>
      <c r="E32" s="134">
        <v>14197</v>
      </c>
      <c r="F32" s="210">
        <f t="shared" si="1"/>
        <v>2839.4</v>
      </c>
      <c r="G32" s="210">
        <f>E32*0.105391</f>
        <v>1496.2360269999999</v>
      </c>
      <c r="H32" s="210">
        <v>30</v>
      </c>
      <c r="I32" s="210">
        <f t="shared" si="3"/>
        <v>5559.7908080999996</v>
      </c>
      <c r="J32" s="210">
        <v>30</v>
      </c>
      <c r="K32" s="210">
        <f t="shared" si="4"/>
        <v>5559.7908080999996</v>
      </c>
      <c r="L32" s="210">
        <f>C32*D32*12-31911</f>
        <v>323915.61171839997</v>
      </c>
      <c r="M32" s="89"/>
      <c r="N32" s="85"/>
      <c r="O32" s="11"/>
      <c r="P32" s="11"/>
      <c r="Q32" s="11"/>
      <c r="R32" s="11"/>
      <c r="S32" s="11"/>
      <c r="T32" s="11"/>
      <c r="U32" s="11"/>
      <c r="V32" s="11"/>
      <c r="W32" s="11"/>
    </row>
    <row r="33" spans="1:23" s="1" customFormat="1" ht="25.5" x14ac:dyDescent="0.25">
      <c r="A33" s="19" t="s">
        <v>560</v>
      </c>
      <c r="B33" s="210" t="s">
        <v>159</v>
      </c>
      <c r="C33" s="134">
        <v>0.75</v>
      </c>
      <c r="D33" s="210">
        <f t="shared" si="2"/>
        <v>29529.760000000006</v>
      </c>
      <c r="E33" s="134">
        <v>14197</v>
      </c>
      <c r="F33" s="210">
        <f t="shared" si="1"/>
        <v>2839.4</v>
      </c>
      <c r="G33" s="210">
        <f>E33*0.1</f>
        <v>1419.7</v>
      </c>
      <c r="H33" s="210">
        <v>30</v>
      </c>
      <c r="I33" s="210">
        <f t="shared" si="3"/>
        <v>5536.8300000000008</v>
      </c>
      <c r="J33" s="210">
        <v>30</v>
      </c>
      <c r="K33" s="210">
        <f t="shared" si="4"/>
        <v>5536.8300000000008</v>
      </c>
      <c r="L33" s="210">
        <f>C33*D33*12-31828</f>
        <v>233939.84000000003</v>
      </c>
      <c r="M33" s="89"/>
      <c r="N33" s="85"/>
      <c r="O33" s="11"/>
      <c r="P33" s="11"/>
      <c r="Q33" s="11"/>
      <c r="R33" s="11"/>
      <c r="S33" s="11"/>
      <c r="T33" s="11"/>
      <c r="U33" s="11"/>
      <c r="V33" s="11"/>
      <c r="W33" s="11"/>
    </row>
    <row r="34" spans="1:23" s="1" customFormat="1" ht="25.5" x14ac:dyDescent="0.25">
      <c r="A34" s="19" t="s">
        <v>561</v>
      </c>
      <c r="B34" s="210" t="s">
        <v>160</v>
      </c>
      <c r="C34" s="134">
        <v>0.5</v>
      </c>
      <c r="D34" s="210">
        <f t="shared" si="2"/>
        <v>29529.760000000006</v>
      </c>
      <c r="E34" s="134">
        <v>14197</v>
      </c>
      <c r="F34" s="210">
        <f t="shared" si="1"/>
        <v>2839.4</v>
      </c>
      <c r="G34" s="210">
        <f>E34*0.1</f>
        <v>1419.7</v>
      </c>
      <c r="H34" s="210">
        <v>30</v>
      </c>
      <c r="I34" s="210">
        <f t="shared" si="3"/>
        <v>5536.8300000000008</v>
      </c>
      <c r="J34" s="210">
        <v>30</v>
      </c>
      <c r="K34" s="210">
        <f t="shared" si="4"/>
        <v>5536.8300000000008</v>
      </c>
      <c r="L34" s="210">
        <f t="shared" si="5"/>
        <v>177178.56000000003</v>
      </c>
      <c r="M34" s="89"/>
      <c r="N34" s="85"/>
      <c r="O34" s="11"/>
      <c r="P34" s="11"/>
      <c r="Q34" s="11"/>
      <c r="R34" s="11"/>
      <c r="S34" s="11"/>
      <c r="T34" s="11"/>
      <c r="U34" s="11"/>
      <c r="V34" s="11"/>
      <c r="W34" s="11"/>
    </row>
    <row r="35" spans="1:23" s="1" customFormat="1" x14ac:dyDescent="0.25">
      <c r="A35" s="19" t="s">
        <v>600</v>
      </c>
      <c r="B35" s="210" t="s">
        <v>161</v>
      </c>
      <c r="C35" s="134">
        <v>1</v>
      </c>
      <c r="D35" s="210">
        <f t="shared" si="2"/>
        <v>26097.599999999999</v>
      </c>
      <c r="E35" s="134">
        <v>10874</v>
      </c>
      <c r="F35" s="210">
        <f t="shared" si="1"/>
        <v>2174.8000000000002</v>
      </c>
      <c r="G35" s="210">
        <f>E35*0.3</f>
        <v>3262.2</v>
      </c>
      <c r="H35" s="210">
        <v>30</v>
      </c>
      <c r="I35" s="210">
        <f t="shared" si="3"/>
        <v>4893.3</v>
      </c>
      <c r="J35" s="210">
        <v>30</v>
      </c>
      <c r="K35" s="210">
        <f t="shared" si="4"/>
        <v>4893.3</v>
      </c>
      <c r="L35" s="210">
        <f t="shared" si="5"/>
        <v>313171.19999999995</v>
      </c>
      <c r="M35" s="89"/>
      <c r="N35" s="85"/>
      <c r="O35" s="11"/>
      <c r="P35" s="11"/>
      <c r="Q35" s="11"/>
      <c r="R35" s="11"/>
      <c r="S35" s="11"/>
      <c r="T35" s="11"/>
      <c r="U35" s="11"/>
      <c r="V35" s="11"/>
      <c r="W35" s="11"/>
    </row>
    <row r="36" spans="1:23" s="1" customFormat="1" x14ac:dyDescent="0.25">
      <c r="A36" s="19" t="s">
        <v>562</v>
      </c>
      <c r="B36" s="210" t="s">
        <v>162</v>
      </c>
      <c r="C36" s="134">
        <v>0.75</v>
      </c>
      <c r="D36" s="210">
        <f t="shared" si="2"/>
        <v>26097.599999999999</v>
      </c>
      <c r="E36" s="134">
        <v>10874</v>
      </c>
      <c r="F36" s="210">
        <f t="shared" si="1"/>
        <v>2174.8000000000002</v>
      </c>
      <c r="G36" s="248">
        <f>E36*0.3</f>
        <v>3262.2</v>
      </c>
      <c r="H36" s="210">
        <v>30</v>
      </c>
      <c r="I36" s="210">
        <f t="shared" si="3"/>
        <v>4893.3</v>
      </c>
      <c r="J36" s="210">
        <v>30</v>
      </c>
      <c r="K36" s="210">
        <f t="shared" si="4"/>
        <v>4893.3</v>
      </c>
      <c r="L36" s="210">
        <f>C36*D36*12-35496</f>
        <v>199382.39999999997</v>
      </c>
      <c r="M36" s="89"/>
      <c r="N36" s="85"/>
      <c r="O36" s="11"/>
      <c r="P36" s="11"/>
      <c r="Q36" s="11"/>
      <c r="R36" s="11"/>
      <c r="S36" s="11"/>
      <c r="T36" s="11"/>
      <c r="U36" s="11"/>
      <c r="V36" s="11"/>
      <c r="W36" s="11"/>
    </row>
    <row r="37" spans="1:23" s="1" customFormat="1" x14ac:dyDescent="0.25">
      <c r="A37" s="19" t="s">
        <v>563</v>
      </c>
      <c r="B37" s="210" t="s">
        <v>163</v>
      </c>
      <c r="C37" s="134">
        <v>1</v>
      </c>
      <c r="D37" s="210">
        <f t="shared" si="2"/>
        <v>26097.599999999999</v>
      </c>
      <c r="E37" s="134">
        <v>10874</v>
      </c>
      <c r="F37" s="210">
        <f t="shared" si="1"/>
        <v>2174.8000000000002</v>
      </c>
      <c r="G37" s="248">
        <f>E37*0.3</f>
        <v>3262.2</v>
      </c>
      <c r="H37" s="210">
        <v>30</v>
      </c>
      <c r="I37" s="210">
        <f t="shared" si="3"/>
        <v>4893.3</v>
      </c>
      <c r="J37" s="210">
        <v>30</v>
      </c>
      <c r="K37" s="210">
        <f t="shared" si="4"/>
        <v>4893.3</v>
      </c>
      <c r="L37" s="210">
        <f>C37*D37*12-42212</f>
        <v>270959.19999999995</v>
      </c>
      <c r="M37" s="89"/>
      <c r="N37" s="85"/>
      <c r="O37" s="11"/>
      <c r="P37" s="11"/>
      <c r="Q37" s="11"/>
      <c r="R37" s="11"/>
      <c r="S37" s="11"/>
      <c r="T37" s="11"/>
      <c r="U37" s="11"/>
      <c r="V37" s="11"/>
      <c r="W37" s="11"/>
    </row>
    <row r="38" spans="1:23" s="1" customFormat="1" x14ac:dyDescent="0.25">
      <c r="A38" s="19" t="s">
        <v>601</v>
      </c>
      <c r="B38" s="210" t="s">
        <v>164</v>
      </c>
      <c r="C38" s="134">
        <v>1</v>
      </c>
      <c r="D38" s="210">
        <f t="shared" si="2"/>
        <v>27105.119999999999</v>
      </c>
      <c r="E38" s="134">
        <v>8067</v>
      </c>
      <c r="F38" s="210">
        <f t="shared" si="1"/>
        <v>1613.4</v>
      </c>
      <c r="G38" s="210">
        <f>E38*0.9</f>
        <v>7260.3</v>
      </c>
      <c r="H38" s="210">
        <v>30</v>
      </c>
      <c r="I38" s="210">
        <f t="shared" si="3"/>
        <v>5082.21</v>
      </c>
      <c r="J38" s="210">
        <v>30</v>
      </c>
      <c r="K38" s="210">
        <f t="shared" si="4"/>
        <v>5082.21</v>
      </c>
      <c r="L38" s="210">
        <f>C38*D38*12-21106</f>
        <v>304155.44</v>
      </c>
      <c r="M38" s="89"/>
      <c r="N38" s="85"/>
      <c r="O38" s="11"/>
      <c r="P38" s="11"/>
      <c r="Q38" s="11"/>
      <c r="R38" s="11"/>
      <c r="S38" s="11"/>
      <c r="T38" s="11"/>
      <c r="U38" s="11"/>
      <c r="V38" s="11"/>
      <c r="W38" s="11"/>
    </row>
    <row r="39" spans="1:23" s="1" customFormat="1" x14ac:dyDescent="0.25">
      <c r="A39" s="19" t="s">
        <v>564</v>
      </c>
      <c r="B39" s="210" t="s">
        <v>165</v>
      </c>
      <c r="C39" s="134">
        <v>0.75</v>
      </c>
      <c r="D39" s="210">
        <f t="shared" si="2"/>
        <v>27105.119999999999</v>
      </c>
      <c r="E39" s="134">
        <v>8067</v>
      </c>
      <c r="F39" s="210">
        <f t="shared" si="1"/>
        <v>1613.4</v>
      </c>
      <c r="G39" s="248">
        <f>E39*0.9</f>
        <v>7260.3</v>
      </c>
      <c r="H39" s="210">
        <v>30</v>
      </c>
      <c r="I39" s="210">
        <f t="shared" si="3"/>
        <v>5082.21</v>
      </c>
      <c r="J39" s="210">
        <v>30</v>
      </c>
      <c r="K39" s="210">
        <f t="shared" si="4"/>
        <v>5082.21</v>
      </c>
      <c r="L39" s="210">
        <f>C39*D39*12-26700</f>
        <v>217246.08000000002</v>
      </c>
      <c r="M39" s="89"/>
      <c r="N39" s="85"/>
      <c r="O39" s="11"/>
      <c r="P39" s="11"/>
      <c r="Q39" s="11"/>
      <c r="R39" s="11"/>
      <c r="S39" s="11"/>
      <c r="T39" s="11"/>
      <c r="U39" s="11"/>
      <c r="V39" s="11"/>
      <c r="W39" s="11"/>
    </row>
    <row r="40" spans="1:23" s="1" customFormat="1" ht="25.5" x14ac:dyDescent="0.25">
      <c r="A40" s="19" t="s">
        <v>565</v>
      </c>
      <c r="B40" s="210" t="s">
        <v>166</v>
      </c>
      <c r="C40" s="134">
        <v>5</v>
      </c>
      <c r="D40" s="210">
        <f t="shared" si="2"/>
        <v>29577.279999999999</v>
      </c>
      <c r="E40" s="134">
        <v>10874</v>
      </c>
      <c r="F40" s="210">
        <f t="shared" si="1"/>
        <v>2174.8000000000002</v>
      </c>
      <c r="G40" s="210">
        <f>E40*0.5</f>
        <v>5437</v>
      </c>
      <c r="H40" s="210">
        <v>30</v>
      </c>
      <c r="I40" s="210">
        <f t="shared" si="3"/>
        <v>5545.74</v>
      </c>
      <c r="J40" s="210">
        <v>30</v>
      </c>
      <c r="K40" s="210">
        <f t="shared" si="4"/>
        <v>5545.74</v>
      </c>
      <c r="L40" s="210">
        <f>C40*D40*12-29112</f>
        <v>1745524.7999999998</v>
      </c>
      <c r="M40" s="89"/>
      <c r="N40" s="85"/>
      <c r="O40" s="11"/>
      <c r="P40" s="11"/>
      <c r="Q40" s="11"/>
      <c r="R40" s="11"/>
      <c r="S40" s="11"/>
      <c r="T40" s="11"/>
      <c r="U40" s="11"/>
      <c r="V40" s="11"/>
      <c r="W40" s="11"/>
    </row>
    <row r="41" spans="1:23" s="1" customFormat="1" ht="25.5" x14ac:dyDescent="0.25">
      <c r="A41" s="19" t="s">
        <v>566</v>
      </c>
      <c r="B41" s="210" t="s">
        <v>167</v>
      </c>
      <c r="C41" s="134">
        <v>5</v>
      </c>
      <c r="D41" s="210">
        <f t="shared" si="2"/>
        <v>33056.959999999999</v>
      </c>
      <c r="E41" s="134">
        <v>10874</v>
      </c>
      <c r="F41" s="210">
        <f t="shared" si="1"/>
        <v>2174.8000000000002</v>
      </c>
      <c r="G41" s="210">
        <f>E41*0.7</f>
        <v>7611.7999999999993</v>
      </c>
      <c r="H41" s="210">
        <v>30</v>
      </c>
      <c r="I41" s="210">
        <f t="shared" si="3"/>
        <v>6198.18</v>
      </c>
      <c r="J41" s="210">
        <v>30</v>
      </c>
      <c r="K41" s="210">
        <f t="shared" si="4"/>
        <v>6198.18</v>
      </c>
      <c r="L41" s="210">
        <f>C41*D41*12-300728</f>
        <v>1682689.5999999999</v>
      </c>
      <c r="M41" s="89"/>
      <c r="N41" s="85"/>
      <c r="O41" s="11"/>
      <c r="P41" s="11"/>
      <c r="Q41" s="11"/>
      <c r="R41" s="11"/>
      <c r="S41" s="11"/>
      <c r="T41" s="11"/>
      <c r="U41" s="11"/>
      <c r="V41" s="11"/>
      <c r="W41" s="11"/>
    </row>
    <row r="42" spans="1:23" s="1" customFormat="1" ht="25.5" x14ac:dyDescent="0.25">
      <c r="A42" s="19" t="s">
        <v>567</v>
      </c>
      <c r="B42" s="210" t="s">
        <v>168</v>
      </c>
      <c r="C42" s="134">
        <v>2</v>
      </c>
      <c r="D42" s="210">
        <f t="shared" si="2"/>
        <v>26553.599999999999</v>
      </c>
      <c r="E42" s="134">
        <v>5532</v>
      </c>
      <c r="F42" s="210">
        <f t="shared" si="1"/>
        <v>1106.4000000000001</v>
      </c>
      <c r="G42" s="210">
        <f>E42*1.8</f>
        <v>9957.6</v>
      </c>
      <c r="H42" s="210">
        <v>30</v>
      </c>
      <c r="I42" s="210">
        <f t="shared" si="3"/>
        <v>4978.8</v>
      </c>
      <c r="J42" s="210">
        <v>30</v>
      </c>
      <c r="K42" s="210">
        <f t="shared" si="4"/>
        <v>4978.8</v>
      </c>
      <c r="L42" s="210">
        <f>C42*D42*12-29597</f>
        <v>607689.39999999991</v>
      </c>
      <c r="M42" s="89"/>
      <c r="N42" s="85"/>
      <c r="O42" s="11"/>
      <c r="P42" s="11"/>
      <c r="Q42" s="11"/>
      <c r="R42" s="11"/>
      <c r="S42" s="11"/>
      <c r="T42" s="11"/>
      <c r="U42" s="11"/>
      <c r="V42" s="11"/>
      <c r="W42" s="11"/>
    </row>
    <row r="43" spans="1:23" s="1" customFormat="1" ht="14.25" customHeight="1" x14ac:dyDescent="0.25">
      <c r="A43" s="19" t="s">
        <v>568</v>
      </c>
      <c r="B43" s="210" t="s">
        <v>169</v>
      </c>
      <c r="C43" s="134">
        <v>1</v>
      </c>
      <c r="D43" s="210">
        <f t="shared" si="2"/>
        <v>29577.279999999999</v>
      </c>
      <c r="E43" s="134">
        <v>10874</v>
      </c>
      <c r="F43" s="210">
        <f t="shared" si="1"/>
        <v>2174.8000000000002</v>
      </c>
      <c r="G43" s="210">
        <f>E43*0.5</f>
        <v>5437</v>
      </c>
      <c r="H43" s="210">
        <v>30</v>
      </c>
      <c r="I43" s="210">
        <f t="shared" si="3"/>
        <v>5545.74</v>
      </c>
      <c r="J43" s="210">
        <v>30</v>
      </c>
      <c r="K43" s="210">
        <f t="shared" si="4"/>
        <v>5545.74</v>
      </c>
      <c r="L43" s="210">
        <f t="shared" si="5"/>
        <v>354927.35999999999</v>
      </c>
      <c r="M43" s="89"/>
      <c r="N43" s="85"/>
      <c r="O43" s="11"/>
      <c r="P43" s="11"/>
      <c r="Q43" s="11"/>
      <c r="R43" s="11"/>
      <c r="S43" s="11"/>
      <c r="T43" s="11"/>
      <c r="U43" s="11"/>
      <c r="V43" s="11"/>
      <c r="W43" s="11"/>
    </row>
    <row r="44" spans="1:23" s="1" customFormat="1" ht="14.25" customHeight="1" x14ac:dyDescent="0.25">
      <c r="A44" s="19" t="s">
        <v>569</v>
      </c>
      <c r="B44" s="210" t="s">
        <v>170</v>
      </c>
      <c r="C44" s="134">
        <v>1</v>
      </c>
      <c r="D44" s="210">
        <f t="shared" si="2"/>
        <v>29577.279999999999</v>
      </c>
      <c r="E44" s="134">
        <v>10874</v>
      </c>
      <c r="F44" s="210">
        <f t="shared" si="1"/>
        <v>2174.8000000000002</v>
      </c>
      <c r="G44" s="235">
        <f t="shared" ref="G44:G48" si="6">E44*0.5</f>
        <v>5437</v>
      </c>
      <c r="H44" s="210">
        <v>30</v>
      </c>
      <c r="I44" s="210">
        <f t="shared" si="3"/>
        <v>5545.74</v>
      </c>
      <c r="J44" s="210">
        <v>30</v>
      </c>
      <c r="K44" s="210">
        <f t="shared" si="4"/>
        <v>5545.74</v>
      </c>
      <c r="L44" s="210">
        <f>C44*D44*12-29801</f>
        <v>325126.36</v>
      </c>
      <c r="M44" s="89"/>
      <c r="N44" s="85"/>
      <c r="O44" s="11"/>
      <c r="P44" s="11"/>
      <c r="Q44" s="11"/>
      <c r="R44" s="11"/>
      <c r="S44" s="11"/>
      <c r="T44" s="11"/>
      <c r="U44" s="11"/>
      <c r="V44" s="11"/>
      <c r="W44" s="11"/>
    </row>
    <row r="45" spans="1:23" s="1" customFormat="1" x14ac:dyDescent="0.25">
      <c r="A45" s="19" t="s">
        <v>570</v>
      </c>
      <c r="B45" s="210" t="s">
        <v>171</v>
      </c>
      <c r="C45" s="134">
        <v>1</v>
      </c>
      <c r="D45" s="210">
        <f t="shared" si="2"/>
        <v>29577.279999999999</v>
      </c>
      <c r="E45" s="134">
        <v>10874</v>
      </c>
      <c r="F45" s="210">
        <f t="shared" si="1"/>
        <v>2174.8000000000002</v>
      </c>
      <c r="G45" s="235">
        <f t="shared" si="6"/>
        <v>5437</v>
      </c>
      <c r="H45" s="210">
        <v>30</v>
      </c>
      <c r="I45" s="210">
        <f t="shared" si="3"/>
        <v>5545.74</v>
      </c>
      <c r="J45" s="210">
        <v>30</v>
      </c>
      <c r="K45" s="210">
        <f t="shared" si="4"/>
        <v>5545.74</v>
      </c>
      <c r="L45" s="210">
        <f>C45*D45*12-28846</f>
        <v>326081.36</v>
      </c>
      <c r="M45" s="89"/>
      <c r="N45" s="85"/>
      <c r="O45" s="11"/>
      <c r="P45" s="11"/>
      <c r="Q45" s="11"/>
      <c r="R45" s="11"/>
      <c r="S45" s="11"/>
      <c r="T45" s="11"/>
      <c r="U45" s="11"/>
      <c r="V45" s="11"/>
      <c r="W45" s="11"/>
    </row>
    <row r="46" spans="1:23" s="1" customFormat="1" x14ac:dyDescent="0.25">
      <c r="A46" s="19" t="s">
        <v>571</v>
      </c>
      <c r="B46" s="210" t="s">
        <v>172</v>
      </c>
      <c r="C46" s="134">
        <v>0.5</v>
      </c>
      <c r="D46" s="210">
        <f t="shared" si="2"/>
        <v>29577.279999999999</v>
      </c>
      <c r="E46" s="134">
        <v>10874</v>
      </c>
      <c r="F46" s="210">
        <f t="shared" si="1"/>
        <v>2174.8000000000002</v>
      </c>
      <c r="G46" s="235">
        <f t="shared" si="6"/>
        <v>5437</v>
      </c>
      <c r="H46" s="210">
        <v>30</v>
      </c>
      <c r="I46" s="210">
        <f t="shared" si="3"/>
        <v>5545.74</v>
      </c>
      <c r="J46" s="210">
        <v>30</v>
      </c>
      <c r="K46" s="210">
        <f t="shared" si="4"/>
        <v>5545.74</v>
      </c>
      <c r="L46" s="210">
        <f>C46*D46*12-29714</f>
        <v>147749.68</v>
      </c>
      <c r="M46" s="89"/>
      <c r="N46" s="85"/>
      <c r="O46" s="11"/>
      <c r="P46" s="11"/>
      <c r="Q46" s="11"/>
      <c r="R46" s="11"/>
      <c r="S46" s="11"/>
      <c r="T46" s="11"/>
      <c r="U46" s="11"/>
      <c r="V46" s="11"/>
      <c r="W46" s="11"/>
    </row>
    <row r="47" spans="1:23" s="1" customFormat="1" x14ac:dyDescent="0.25">
      <c r="A47" s="19" t="s">
        <v>572</v>
      </c>
      <c r="B47" s="210" t="s">
        <v>173</v>
      </c>
      <c r="C47" s="134">
        <v>1</v>
      </c>
      <c r="D47" s="210">
        <f t="shared" si="2"/>
        <v>29577.279999999999</v>
      </c>
      <c r="E47" s="134">
        <v>10874</v>
      </c>
      <c r="F47" s="210">
        <f t="shared" si="1"/>
        <v>2174.8000000000002</v>
      </c>
      <c r="G47" s="235">
        <f t="shared" si="6"/>
        <v>5437</v>
      </c>
      <c r="H47" s="210">
        <v>30</v>
      </c>
      <c r="I47" s="210">
        <f t="shared" si="3"/>
        <v>5545.74</v>
      </c>
      <c r="J47" s="210">
        <v>30</v>
      </c>
      <c r="K47" s="210">
        <f t="shared" si="4"/>
        <v>5545.74</v>
      </c>
      <c r="L47" s="210">
        <f t="shared" si="5"/>
        <v>354927.35999999999</v>
      </c>
      <c r="M47" s="89"/>
      <c r="N47" s="85"/>
      <c r="O47" s="11"/>
      <c r="P47" s="11"/>
      <c r="Q47" s="11"/>
      <c r="R47" s="11"/>
      <c r="S47" s="11"/>
      <c r="T47" s="11"/>
      <c r="U47" s="11"/>
      <c r="V47" s="11"/>
      <c r="W47" s="11"/>
    </row>
    <row r="48" spans="1:23" s="1" customFormat="1" x14ac:dyDescent="0.25">
      <c r="A48" s="19" t="s">
        <v>573</v>
      </c>
      <c r="B48" s="210" t="s">
        <v>174</v>
      </c>
      <c r="C48" s="134">
        <v>1</v>
      </c>
      <c r="D48" s="210">
        <f t="shared" si="2"/>
        <v>29577.279999999999</v>
      </c>
      <c r="E48" s="134">
        <v>10874</v>
      </c>
      <c r="F48" s="210">
        <f t="shared" si="1"/>
        <v>2174.8000000000002</v>
      </c>
      <c r="G48" s="235">
        <f t="shared" si="6"/>
        <v>5437</v>
      </c>
      <c r="H48" s="210">
        <v>30</v>
      </c>
      <c r="I48" s="210">
        <f t="shared" si="3"/>
        <v>5545.74</v>
      </c>
      <c r="J48" s="210">
        <v>30</v>
      </c>
      <c r="K48" s="210">
        <f t="shared" si="4"/>
        <v>5545.74</v>
      </c>
      <c r="L48" s="210">
        <f>C48*D48*12-28842</f>
        <v>326085.36</v>
      </c>
      <c r="M48" s="89"/>
      <c r="N48" s="85"/>
      <c r="O48" s="11"/>
      <c r="P48" s="11"/>
      <c r="Q48" s="11"/>
      <c r="R48" s="11"/>
      <c r="S48" s="11"/>
      <c r="T48" s="11"/>
      <c r="U48" s="11"/>
      <c r="V48" s="11"/>
      <c r="W48" s="11"/>
    </row>
    <row r="49" spans="1:23" s="1" customFormat="1" x14ac:dyDescent="0.25">
      <c r="A49" s="19" t="s">
        <v>574</v>
      </c>
      <c r="B49" s="210" t="s">
        <v>175</v>
      </c>
      <c r="C49" s="134">
        <v>1</v>
      </c>
      <c r="D49" s="210">
        <f t="shared" si="2"/>
        <v>29529.760000000006</v>
      </c>
      <c r="E49" s="134">
        <v>14197</v>
      </c>
      <c r="F49" s="210">
        <f t="shared" si="1"/>
        <v>2839.4</v>
      </c>
      <c r="G49" s="235">
        <f>E49*0.1</f>
        <v>1419.7</v>
      </c>
      <c r="H49" s="210">
        <v>30</v>
      </c>
      <c r="I49" s="210">
        <f t="shared" si="3"/>
        <v>5536.8300000000008</v>
      </c>
      <c r="J49" s="210">
        <v>30</v>
      </c>
      <c r="K49" s="210">
        <f t="shared" si="4"/>
        <v>5536.8300000000008</v>
      </c>
      <c r="L49" s="210">
        <f>C49*D49*12-38897</f>
        <v>315460.12000000005</v>
      </c>
      <c r="M49" s="89"/>
      <c r="N49" s="85"/>
      <c r="O49" s="11"/>
      <c r="P49" s="11"/>
      <c r="Q49" s="11"/>
      <c r="R49" s="11"/>
      <c r="S49" s="11"/>
      <c r="T49" s="11"/>
      <c r="U49" s="11"/>
      <c r="V49" s="11"/>
      <c r="W49" s="11"/>
    </row>
    <row r="50" spans="1:23" s="1" customFormat="1" x14ac:dyDescent="0.25">
      <c r="A50" s="19" t="s">
        <v>575</v>
      </c>
      <c r="B50" s="210" t="s">
        <v>176</v>
      </c>
      <c r="C50" s="134">
        <v>0.25</v>
      </c>
      <c r="D50" s="210">
        <f t="shared" si="2"/>
        <v>26067.52</v>
      </c>
      <c r="E50" s="134">
        <v>5618</v>
      </c>
      <c r="F50" s="210">
        <f t="shared" si="1"/>
        <v>1123.5999999999999</v>
      </c>
      <c r="G50" s="210">
        <f>E50*1.7</f>
        <v>9550.6</v>
      </c>
      <c r="H50" s="210">
        <v>30</v>
      </c>
      <c r="I50" s="210">
        <f t="shared" si="3"/>
        <v>4887.66</v>
      </c>
      <c r="J50" s="210">
        <v>30</v>
      </c>
      <c r="K50" s="210">
        <f t="shared" si="4"/>
        <v>4887.66</v>
      </c>
      <c r="L50" s="210">
        <f>C50*D50*12-21106</f>
        <v>57096.56</v>
      </c>
      <c r="M50" s="89"/>
      <c r="N50" s="85"/>
      <c r="O50" s="11"/>
      <c r="P50" s="11"/>
      <c r="Q50" s="11"/>
      <c r="R50" s="11"/>
      <c r="S50" s="11"/>
      <c r="T50" s="11"/>
      <c r="U50" s="11"/>
      <c r="V50" s="11"/>
      <c r="W50" s="11"/>
    </row>
    <row r="51" spans="1:23" s="1" customFormat="1" x14ac:dyDescent="0.25">
      <c r="A51" s="19" t="s">
        <v>576</v>
      </c>
      <c r="B51" s="210" t="s">
        <v>177</v>
      </c>
      <c r="C51" s="134">
        <v>0.25</v>
      </c>
      <c r="D51" s="210">
        <f t="shared" si="2"/>
        <v>26067.52</v>
      </c>
      <c r="E51" s="134">
        <v>5618</v>
      </c>
      <c r="F51" s="210">
        <f t="shared" si="1"/>
        <v>1123.5999999999999</v>
      </c>
      <c r="G51" s="210">
        <f>E51*1.7</f>
        <v>9550.6</v>
      </c>
      <c r="H51" s="210">
        <v>30</v>
      </c>
      <c r="I51" s="210">
        <f t="shared" si="3"/>
        <v>4887.66</v>
      </c>
      <c r="J51" s="210">
        <v>30</v>
      </c>
      <c r="K51" s="210">
        <f t="shared" si="4"/>
        <v>4887.66</v>
      </c>
      <c r="L51" s="210">
        <f>C51*D51*12-26325</f>
        <v>51877.56</v>
      </c>
      <c r="M51" s="89"/>
      <c r="N51" s="85"/>
      <c r="O51" s="11"/>
      <c r="P51" s="11"/>
      <c r="Q51" s="11"/>
      <c r="R51" s="11"/>
      <c r="S51" s="11"/>
      <c r="T51" s="11"/>
      <c r="U51" s="11"/>
      <c r="V51" s="11"/>
      <c r="W51" s="11"/>
    </row>
    <row r="52" spans="1:23" s="1" customFormat="1" ht="15" customHeight="1" x14ac:dyDescent="0.25">
      <c r="A52" s="19" t="s">
        <v>577</v>
      </c>
      <c r="B52" s="210" t="s">
        <v>178</v>
      </c>
      <c r="C52" s="134">
        <v>1</v>
      </c>
      <c r="D52" s="210">
        <f t="shared" si="2"/>
        <v>26067.52</v>
      </c>
      <c r="E52" s="134">
        <v>5618</v>
      </c>
      <c r="F52" s="210">
        <f t="shared" si="1"/>
        <v>1123.5999999999999</v>
      </c>
      <c r="G52" s="210">
        <f>E52*1.7</f>
        <v>9550.6</v>
      </c>
      <c r="H52" s="210">
        <v>30</v>
      </c>
      <c r="I52" s="210">
        <f t="shared" si="3"/>
        <v>4887.66</v>
      </c>
      <c r="J52" s="210">
        <v>30</v>
      </c>
      <c r="K52" s="210">
        <f t="shared" si="4"/>
        <v>4887.66</v>
      </c>
      <c r="L52" s="210">
        <f>C52*D52*12-33125</f>
        <v>279685.24</v>
      </c>
      <c r="M52" s="89"/>
      <c r="N52" s="85"/>
      <c r="O52" s="11"/>
      <c r="P52" s="11"/>
      <c r="Q52" s="11"/>
      <c r="R52" s="11"/>
      <c r="S52" s="11"/>
      <c r="T52" s="11"/>
      <c r="U52" s="11"/>
      <c r="V52" s="11"/>
      <c r="W52" s="11"/>
    </row>
    <row r="53" spans="1:23" s="1" customFormat="1" ht="15" customHeight="1" x14ac:dyDescent="0.25">
      <c r="A53" s="228" t="s">
        <v>632</v>
      </c>
      <c r="B53" s="96"/>
      <c r="C53" s="323"/>
      <c r="D53" s="324"/>
      <c r="E53" s="324"/>
      <c r="F53" s="324"/>
      <c r="G53" s="324"/>
      <c r="H53" s="324"/>
      <c r="I53" s="324"/>
      <c r="J53" s="324"/>
      <c r="K53" s="325"/>
      <c r="L53" s="226">
        <f>SUM(L25:L52)</f>
        <v>11186961.99734468</v>
      </c>
      <c r="M53" s="89"/>
      <c r="N53" s="85"/>
      <c r="O53" s="11"/>
      <c r="P53" s="11"/>
      <c r="Q53" s="11"/>
      <c r="R53" s="11"/>
      <c r="S53" s="11"/>
      <c r="T53" s="11"/>
      <c r="U53" s="11"/>
      <c r="V53" s="11"/>
      <c r="W53" s="11"/>
    </row>
    <row r="54" spans="1:23" s="1" customFormat="1" ht="40.5" customHeight="1" x14ac:dyDescent="0.25">
      <c r="A54" s="229" t="s">
        <v>633</v>
      </c>
      <c r="B54" s="227"/>
      <c r="C54" s="323"/>
      <c r="D54" s="324"/>
      <c r="E54" s="324"/>
      <c r="F54" s="324"/>
      <c r="G54" s="324"/>
      <c r="H54" s="324"/>
      <c r="I54" s="324"/>
      <c r="J54" s="324"/>
      <c r="K54" s="325"/>
      <c r="L54" s="226">
        <v>80000</v>
      </c>
      <c r="M54" s="89"/>
      <c r="N54" s="85"/>
      <c r="O54" s="11"/>
      <c r="P54" s="11"/>
      <c r="Q54" s="11"/>
      <c r="R54" s="11"/>
      <c r="S54" s="11"/>
      <c r="T54" s="11"/>
      <c r="U54" s="11"/>
      <c r="V54" s="11"/>
      <c r="W54" s="11"/>
    </row>
    <row r="55" spans="1:23" s="1" customFormat="1" x14ac:dyDescent="0.25">
      <c r="A55" s="140" t="s">
        <v>427</v>
      </c>
      <c r="B55" s="48" t="s">
        <v>1</v>
      </c>
      <c r="C55" s="30">
        <f>SUM(C25:C52)</f>
        <v>31.5</v>
      </c>
      <c r="D55" s="60" t="s">
        <v>1</v>
      </c>
      <c r="E55" s="60" t="s">
        <v>1</v>
      </c>
      <c r="F55" s="60" t="s">
        <v>1</v>
      </c>
      <c r="G55" s="60" t="s">
        <v>1</v>
      </c>
      <c r="H55" s="60" t="s">
        <v>1</v>
      </c>
      <c r="I55" s="60" t="s">
        <v>1</v>
      </c>
      <c r="J55" s="60" t="s">
        <v>1</v>
      </c>
      <c r="K55" s="60" t="s">
        <v>1</v>
      </c>
      <c r="L55" s="30">
        <f>SUM(L53:L54)</f>
        <v>11266961.99734468</v>
      </c>
      <c r="M55" s="157"/>
      <c r="N55" s="85"/>
      <c r="O55" s="11"/>
      <c r="P55" s="11"/>
      <c r="Q55" s="11"/>
      <c r="R55" s="11"/>
      <c r="S55" s="11"/>
      <c r="T55" s="11"/>
      <c r="U55" s="11"/>
      <c r="V55" s="11"/>
      <c r="W55" s="11"/>
    </row>
    <row r="56" spans="1:23" s="1" customFormat="1" x14ac:dyDescent="0.25">
      <c r="A56" s="23"/>
      <c r="B56" s="89"/>
      <c r="C56" s="89"/>
      <c r="D56" s="90"/>
      <c r="E56" s="90"/>
      <c r="F56" s="90"/>
      <c r="G56" s="90"/>
      <c r="H56" s="90"/>
      <c r="I56" s="90"/>
      <c r="J56" s="102"/>
      <c r="K56" s="90"/>
      <c r="L56" s="90"/>
      <c r="M56" s="90"/>
      <c r="N56" s="85"/>
      <c r="O56" s="11"/>
      <c r="P56" s="11"/>
      <c r="Q56" s="11"/>
      <c r="R56" s="11"/>
      <c r="S56" s="11"/>
      <c r="T56" s="11"/>
      <c r="U56" s="11"/>
      <c r="V56" s="11"/>
      <c r="W56" s="11"/>
    </row>
    <row r="57" spans="1:23" s="1" customFormat="1" x14ac:dyDescent="0.25">
      <c r="A57" s="24" t="s">
        <v>654</v>
      </c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11"/>
      <c r="P57" s="11"/>
      <c r="Q57" s="11"/>
      <c r="R57" s="11"/>
      <c r="S57" s="11"/>
      <c r="T57" s="11"/>
      <c r="U57" s="11"/>
      <c r="V57" s="11"/>
      <c r="W57" s="11"/>
    </row>
    <row r="58" spans="1:23" s="1" customFormat="1" x14ac:dyDescent="0.25">
      <c r="A58" s="24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11"/>
      <c r="P58" s="11"/>
      <c r="Q58" s="11"/>
      <c r="R58" s="11"/>
      <c r="S58" s="11"/>
      <c r="T58" s="11"/>
      <c r="U58" s="11"/>
      <c r="V58" s="11"/>
      <c r="W58" s="11"/>
    </row>
    <row r="59" spans="1:23" s="1" customFormat="1" ht="13.5" customHeight="1" x14ac:dyDescent="0.25">
      <c r="A59" s="299" t="s">
        <v>339</v>
      </c>
      <c r="B59" s="308" t="s">
        <v>72</v>
      </c>
      <c r="C59" s="308" t="s">
        <v>57</v>
      </c>
      <c r="D59" s="275" t="s">
        <v>107</v>
      </c>
      <c r="E59" s="275"/>
      <c r="F59" s="275"/>
      <c r="G59" s="275"/>
      <c r="H59" s="275"/>
      <c r="I59" s="275"/>
      <c r="J59" s="275"/>
      <c r="K59" s="275"/>
      <c r="L59" s="307" t="s">
        <v>108</v>
      </c>
      <c r="M59" s="155"/>
      <c r="N59" s="85"/>
      <c r="O59" s="11"/>
      <c r="P59" s="11"/>
      <c r="Q59" s="11"/>
      <c r="R59" s="11"/>
      <c r="S59" s="11"/>
      <c r="T59" s="11"/>
      <c r="U59" s="11"/>
      <c r="V59" s="11"/>
      <c r="W59" s="11"/>
    </row>
    <row r="60" spans="1:23" s="1" customFormat="1" ht="15.75" customHeight="1" x14ac:dyDescent="0.25">
      <c r="A60" s="299"/>
      <c r="B60" s="308"/>
      <c r="C60" s="308"/>
      <c r="D60" s="307" t="s">
        <v>340</v>
      </c>
      <c r="E60" s="275" t="s">
        <v>109</v>
      </c>
      <c r="F60" s="275"/>
      <c r="G60" s="275"/>
      <c r="H60" s="275"/>
      <c r="I60" s="275"/>
      <c r="J60" s="275"/>
      <c r="K60" s="275"/>
      <c r="L60" s="307"/>
      <c r="M60" s="155"/>
      <c r="N60" s="85"/>
      <c r="O60" s="11"/>
      <c r="P60" s="11"/>
      <c r="Q60" s="11"/>
      <c r="R60" s="11"/>
      <c r="S60" s="11"/>
      <c r="T60" s="11"/>
      <c r="U60" s="11"/>
      <c r="V60" s="11"/>
      <c r="W60" s="11"/>
    </row>
    <row r="61" spans="1:23" s="1" customFormat="1" ht="15.75" customHeight="1" x14ac:dyDescent="0.25">
      <c r="A61" s="299"/>
      <c r="B61" s="308"/>
      <c r="C61" s="308"/>
      <c r="D61" s="307"/>
      <c r="E61" s="307" t="s">
        <v>58</v>
      </c>
      <c r="F61" s="307" t="s">
        <v>179</v>
      </c>
      <c r="G61" s="329" t="s">
        <v>555</v>
      </c>
      <c r="H61" s="308" t="s">
        <v>110</v>
      </c>
      <c r="I61" s="308"/>
      <c r="J61" s="308" t="s">
        <v>111</v>
      </c>
      <c r="K61" s="308"/>
      <c r="L61" s="307"/>
      <c r="M61" s="155"/>
      <c r="N61" s="85"/>
      <c r="O61" s="11"/>
      <c r="P61" s="11"/>
      <c r="Q61" s="11"/>
      <c r="R61" s="11"/>
      <c r="S61" s="11"/>
      <c r="T61" s="11"/>
      <c r="U61" s="11"/>
      <c r="V61" s="11"/>
      <c r="W61" s="11"/>
    </row>
    <row r="62" spans="1:23" s="1" customFormat="1" ht="46.5" customHeight="1" x14ac:dyDescent="0.25">
      <c r="A62" s="299"/>
      <c r="B62" s="308"/>
      <c r="C62" s="308"/>
      <c r="D62" s="307"/>
      <c r="E62" s="307"/>
      <c r="F62" s="307"/>
      <c r="G62" s="330"/>
      <c r="H62" s="142" t="s">
        <v>112</v>
      </c>
      <c r="I62" s="141" t="s">
        <v>113</v>
      </c>
      <c r="J62" s="142" t="s">
        <v>112</v>
      </c>
      <c r="K62" s="141" t="s">
        <v>114</v>
      </c>
      <c r="L62" s="307"/>
      <c r="M62" s="155"/>
      <c r="N62" s="85"/>
      <c r="O62" s="11"/>
      <c r="P62" s="11"/>
      <c r="Q62" s="11"/>
      <c r="R62" s="11"/>
      <c r="S62" s="11"/>
      <c r="T62" s="11"/>
      <c r="U62" s="11"/>
      <c r="V62" s="11"/>
      <c r="W62" s="11"/>
    </row>
    <row r="63" spans="1:23" s="1" customFormat="1" x14ac:dyDescent="0.25">
      <c r="A63" s="140" t="s">
        <v>190</v>
      </c>
      <c r="B63" s="139" t="s">
        <v>73</v>
      </c>
      <c r="C63" s="139" t="s">
        <v>47</v>
      </c>
      <c r="D63" s="139" t="s">
        <v>48</v>
      </c>
      <c r="E63" s="139" t="s">
        <v>49</v>
      </c>
      <c r="F63" s="139" t="s">
        <v>52</v>
      </c>
      <c r="G63" s="93">
        <v>7</v>
      </c>
      <c r="H63" s="93">
        <v>8</v>
      </c>
      <c r="I63" s="93">
        <v>9</v>
      </c>
      <c r="J63" s="93">
        <v>10</v>
      </c>
      <c r="K63" s="93">
        <v>11</v>
      </c>
      <c r="L63" s="93">
        <v>12</v>
      </c>
      <c r="M63" s="156"/>
      <c r="N63" s="85"/>
      <c r="O63" s="11"/>
      <c r="P63" s="11"/>
      <c r="Q63" s="11"/>
      <c r="R63" s="11"/>
      <c r="S63" s="11"/>
      <c r="T63" s="11"/>
      <c r="U63" s="11"/>
      <c r="V63" s="11"/>
      <c r="W63" s="11"/>
    </row>
    <row r="64" spans="1:23" s="1" customFormat="1" x14ac:dyDescent="0.25">
      <c r="A64" s="19" t="s">
        <v>557</v>
      </c>
      <c r="B64" s="253" t="s">
        <v>98</v>
      </c>
      <c r="C64" s="134">
        <v>1</v>
      </c>
      <c r="D64" s="253">
        <f>E64+F64+G64+I64+K64</f>
        <v>89718.021759999989</v>
      </c>
      <c r="E64" s="253">
        <v>20170.419999999998</v>
      </c>
      <c r="F64" s="253">
        <f t="shared" ref="F64:F65" si="7">ROUND((E64*0.2),2)</f>
        <v>4034.08</v>
      </c>
      <c r="G64" s="253">
        <f>E64*1.58</f>
        <v>31869.263599999998</v>
      </c>
      <c r="H64" s="253">
        <v>30</v>
      </c>
      <c r="I64" s="253">
        <f>(E64+F64+G64)*H64/100</f>
        <v>16822.129079999999</v>
      </c>
      <c r="J64" s="253">
        <v>30</v>
      </c>
      <c r="K64" s="253">
        <f>(E64+F64+G64)*J64/100</f>
        <v>16822.129079999999</v>
      </c>
      <c r="L64" s="253">
        <f>C64*D64*12</f>
        <v>1076616.2611199999</v>
      </c>
      <c r="M64" s="89"/>
      <c r="N64" s="85"/>
      <c r="O64" s="11"/>
      <c r="P64" s="11"/>
      <c r="Q64" s="11"/>
      <c r="R64" s="11"/>
      <c r="S64" s="11"/>
      <c r="T64" s="11"/>
      <c r="U64" s="11"/>
      <c r="V64" s="11"/>
      <c r="W64" s="11"/>
    </row>
    <row r="65" spans="1:23" s="1" customFormat="1" ht="25.5" x14ac:dyDescent="0.25">
      <c r="A65" s="19" t="s">
        <v>558</v>
      </c>
      <c r="B65" s="253" t="s">
        <v>99</v>
      </c>
      <c r="C65" s="134">
        <v>1</v>
      </c>
      <c r="D65" s="253">
        <f t="shared" ref="D65" si="8">E65+F65+G65+I65+K65</f>
        <v>51987.367042190403</v>
      </c>
      <c r="E65" s="253">
        <v>18153.38</v>
      </c>
      <c r="F65" s="253">
        <f t="shared" si="7"/>
        <v>3630.68</v>
      </c>
      <c r="G65" s="253">
        <f>E65*0.58986505</f>
        <v>10708.044401369001</v>
      </c>
      <c r="H65" s="253">
        <v>30</v>
      </c>
      <c r="I65" s="253">
        <f t="shared" ref="I65" si="9">(E65+F65+G65)*H65/100</f>
        <v>9747.6313204107009</v>
      </c>
      <c r="J65" s="253">
        <v>30</v>
      </c>
      <c r="K65" s="253">
        <f t="shared" ref="K65" si="10">(E65+F65+G65)*J65/100</f>
        <v>9747.6313204107009</v>
      </c>
      <c r="L65" s="253">
        <f t="shared" ref="L65" si="11">C65*D65*12</f>
        <v>623848.40450628486</v>
      </c>
      <c r="M65" s="89"/>
      <c r="N65" s="85"/>
      <c r="O65" s="11"/>
      <c r="P65" s="11"/>
      <c r="Q65" s="11"/>
      <c r="R65" s="11"/>
      <c r="S65" s="11"/>
      <c r="T65" s="11"/>
      <c r="U65" s="11"/>
      <c r="V65" s="11"/>
      <c r="W65" s="11"/>
    </row>
    <row r="66" spans="1:23" s="1" customFormat="1" ht="25.5" x14ac:dyDescent="0.25">
      <c r="A66" s="19" t="s">
        <v>578</v>
      </c>
      <c r="B66" s="253" t="s">
        <v>152</v>
      </c>
      <c r="C66" s="134">
        <v>0.5</v>
      </c>
      <c r="D66" s="253">
        <f>E66+F66+G66+I66+K66</f>
        <v>27105.119999999999</v>
      </c>
      <c r="E66" s="134">
        <v>8067</v>
      </c>
      <c r="F66" s="253">
        <f>ROUND((E66*0.2),2)</f>
        <v>1613.4</v>
      </c>
      <c r="G66" s="253">
        <f>E66*0.9</f>
        <v>7260.3</v>
      </c>
      <c r="H66" s="253">
        <v>30</v>
      </c>
      <c r="I66" s="253">
        <f>(E66+F66+G66)*H66/100</f>
        <v>5082.21</v>
      </c>
      <c r="J66" s="253">
        <v>30</v>
      </c>
      <c r="K66" s="253">
        <f>(E66+F66+G66)*J66/100</f>
        <v>5082.21</v>
      </c>
      <c r="L66" s="253">
        <f>C66*D66*12</f>
        <v>162630.72</v>
      </c>
      <c r="M66" s="89"/>
      <c r="N66" s="85"/>
      <c r="O66" s="11"/>
      <c r="P66" s="11"/>
      <c r="Q66" s="11"/>
      <c r="R66" s="11"/>
      <c r="S66" s="11"/>
      <c r="T66" s="11"/>
      <c r="U66" s="11"/>
      <c r="V66" s="11"/>
      <c r="W66" s="11"/>
    </row>
    <row r="67" spans="1:23" s="1" customFormat="1" x14ac:dyDescent="0.25">
      <c r="A67" s="19" t="s">
        <v>579</v>
      </c>
      <c r="B67" s="253" t="s">
        <v>154</v>
      </c>
      <c r="C67" s="134">
        <v>0.25</v>
      </c>
      <c r="D67" s="253">
        <f>E67+F67+G67+I67+K67</f>
        <v>26040</v>
      </c>
      <c r="E67" s="134">
        <v>4650</v>
      </c>
      <c r="F67" s="253">
        <f>ROUND((E67*0.2),2)</f>
        <v>930</v>
      </c>
      <c r="G67" s="253">
        <f>E67*2.3</f>
        <v>10695</v>
      </c>
      <c r="H67" s="253">
        <v>30</v>
      </c>
      <c r="I67" s="253">
        <f>(E67+F67+G67)*H67/100</f>
        <v>4882.5</v>
      </c>
      <c r="J67" s="253">
        <v>30</v>
      </c>
      <c r="K67" s="253">
        <f>(E67+F67+G67)*J67/100</f>
        <v>4882.5</v>
      </c>
      <c r="L67" s="253">
        <f>C67*D67*12</f>
        <v>78120</v>
      </c>
      <c r="M67" s="89"/>
      <c r="N67" s="85"/>
      <c r="O67" s="11"/>
      <c r="P67" s="11"/>
      <c r="Q67" s="11"/>
      <c r="R67" s="11"/>
      <c r="S67" s="11"/>
      <c r="T67" s="11"/>
      <c r="U67" s="11"/>
      <c r="V67" s="11"/>
      <c r="W67" s="11"/>
    </row>
    <row r="68" spans="1:23" s="1" customFormat="1" x14ac:dyDescent="0.25">
      <c r="A68" s="19" t="s">
        <v>153</v>
      </c>
      <c r="B68" s="253" t="s">
        <v>155</v>
      </c>
      <c r="C68" s="134">
        <v>1.25</v>
      </c>
      <c r="D68" s="253">
        <f>E68+F68+G68+I68+K68</f>
        <v>26040</v>
      </c>
      <c r="E68" s="134">
        <v>4650</v>
      </c>
      <c r="F68" s="253">
        <f>ROUND((E68*0.2),2)</f>
        <v>930</v>
      </c>
      <c r="G68" s="253">
        <f>E68*2.3</f>
        <v>10695</v>
      </c>
      <c r="H68" s="253">
        <v>30</v>
      </c>
      <c r="I68" s="253">
        <f>(E68+F68+G68)*H68/100</f>
        <v>4882.5</v>
      </c>
      <c r="J68" s="253">
        <v>30</v>
      </c>
      <c r="K68" s="253">
        <f>(E68+F68+G68)*J68/100</f>
        <v>4882.5</v>
      </c>
      <c r="L68" s="253">
        <f>C68*D68*12-21106</f>
        <v>369494</v>
      </c>
      <c r="M68" s="89"/>
      <c r="N68" s="85"/>
      <c r="O68" s="11"/>
      <c r="P68" s="11"/>
      <c r="Q68" s="11"/>
      <c r="R68" s="11"/>
      <c r="S68" s="11"/>
      <c r="T68" s="11"/>
      <c r="U68" s="11"/>
      <c r="V68" s="11"/>
      <c r="W68" s="11"/>
    </row>
    <row r="69" spans="1:23" s="1" customFormat="1" x14ac:dyDescent="0.25">
      <c r="A69" s="19" t="s">
        <v>153</v>
      </c>
      <c r="B69" s="253" t="s">
        <v>156</v>
      </c>
      <c r="C69" s="134">
        <v>0.25</v>
      </c>
      <c r="D69" s="253">
        <f>E69+F69+G69+I69+K69</f>
        <v>26233.440000000002</v>
      </c>
      <c r="E69" s="134">
        <v>3813</v>
      </c>
      <c r="F69" s="253">
        <f>ROUND((E69*0.2),2)</f>
        <v>762.6</v>
      </c>
      <c r="G69" s="253">
        <f>E69*3.1</f>
        <v>11820.300000000001</v>
      </c>
      <c r="H69" s="253">
        <v>30</v>
      </c>
      <c r="I69" s="253">
        <f>(E69+F69+G69)*H69/100</f>
        <v>4918.7700000000004</v>
      </c>
      <c r="J69" s="253">
        <v>30</v>
      </c>
      <c r="K69" s="253">
        <f>(E69+F69+G69)*J69/100</f>
        <v>4918.7700000000004</v>
      </c>
      <c r="L69" s="253">
        <f>C69*D69*12</f>
        <v>78700.320000000007</v>
      </c>
      <c r="M69" s="89"/>
      <c r="N69" s="85"/>
      <c r="O69" s="11"/>
      <c r="P69" s="11"/>
      <c r="Q69" s="11"/>
      <c r="R69" s="11"/>
      <c r="S69" s="11"/>
      <c r="T69" s="11"/>
      <c r="U69" s="11"/>
      <c r="V69" s="11"/>
      <c r="W69" s="11"/>
    </row>
    <row r="70" spans="1:23" s="1" customFormat="1" x14ac:dyDescent="0.25">
      <c r="A70" s="19" t="s">
        <v>556</v>
      </c>
      <c r="B70" s="253" t="s">
        <v>157</v>
      </c>
      <c r="C70" s="134">
        <v>0.5</v>
      </c>
      <c r="D70" s="253">
        <f t="shared" ref="D70:D91" si="12">E70+F70+G70+I70+K70</f>
        <v>30447.199999999997</v>
      </c>
      <c r="E70" s="134">
        <v>10874</v>
      </c>
      <c r="F70" s="253">
        <f t="shared" ref="F70:F91" si="13">ROUND((E70*0.2),2)</f>
        <v>2174.8000000000002</v>
      </c>
      <c r="G70" s="253">
        <f>E70*0.55</f>
        <v>5980.7000000000007</v>
      </c>
      <c r="H70" s="253">
        <v>30</v>
      </c>
      <c r="I70" s="253">
        <f t="shared" ref="I70:I91" si="14">(E70+F70+G70)*H70/100</f>
        <v>5708.85</v>
      </c>
      <c r="J70" s="253">
        <v>30</v>
      </c>
      <c r="K70" s="253">
        <f t="shared" ref="K70:K91" si="15">(E70+F70+G70)*J70/100</f>
        <v>5708.85</v>
      </c>
      <c r="L70" s="253">
        <f t="shared" ref="L70" si="16">C70*D70*12</f>
        <v>182683.19999999998</v>
      </c>
      <c r="M70" s="89"/>
      <c r="N70" s="85"/>
      <c r="O70" s="11"/>
      <c r="P70" s="11"/>
      <c r="Q70" s="11"/>
      <c r="R70" s="11"/>
      <c r="S70" s="11"/>
      <c r="T70" s="11"/>
      <c r="U70" s="11"/>
      <c r="V70" s="11"/>
      <c r="W70" s="11"/>
    </row>
    <row r="71" spans="1:23" s="1" customFormat="1" x14ac:dyDescent="0.25">
      <c r="A71" s="19" t="s">
        <v>559</v>
      </c>
      <c r="B71" s="253" t="s">
        <v>158</v>
      </c>
      <c r="C71" s="134">
        <v>1</v>
      </c>
      <c r="D71" s="253">
        <f t="shared" si="12"/>
        <v>29652.217643199998</v>
      </c>
      <c r="E71" s="134">
        <v>14197</v>
      </c>
      <c r="F71" s="253">
        <f t="shared" si="13"/>
        <v>2839.4</v>
      </c>
      <c r="G71" s="253">
        <f>E71*0.105391</f>
        <v>1496.2360269999999</v>
      </c>
      <c r="H71" s="253">
        <v>30</v>
      </c>
      <c r="I71" s="253">
        <f t="shared" si="14"/>
        <v>5559.7908080999996</v>
      </c>
      <c r="J71" s="253">
        <v>30</v>
      </c>
      <c r="K71" s="253">
        <f t="shared" si="15"/>
        <v>5559.7908080999996</v>
      </c>
      <c r="L71" s="253">
        <f>C71*D71*12-31911</f>
        <v>323915.61171839997</v>
      </c>
      <c r="M71" s="89"/>
      <c r="N71" s="85"/>
      <c r="O71" s="11"/>
      <c r="P71" s="11"/>
      <c r="Q71" s="11"/>
      <c r="R71" s="11"/>
      <c r="S71" s="11"/>
      <c r="T71" s="11"/>
      <c r="U71" s="11"/>
      <c r="V71" s="11"/>
      <c r="W71" s="11"/>
    </row>
    <row r="72" spans="1:23" s="1" customFormat="1" ht="25.5" x14ac:dyDescent="0.25">
      <c r="A72" s="19" t="s">
        <v>560</v>
      </c>
      <c r="B72" s="253" t="s">
        <v>159</v>
      </c>
      <c r="C72" s="134">
        <v>0.75</v>
      </c>
      <c r="D72" s="253">
        <f t="shared" si="12"/>
        <v>29529.760000000006</v>
      </c>
      <c r="E72" s="134">
        <v>14197</v>
      </c>
      <c r="F72" s="253">
        <f t="shared" si="13"/>
        <v>2839.4</v>
      </c>
      <c r="G72" s="253">
        <f>E72*0.1</f>
        <v>1419.7</v>
      </c>
      <c r="H72" s="253">
        <v>30</v>
      </c>
      <c r="I72" s="253">
        <f t="shared" si="14"/>
        <v>5536.8300000000008</v>
      </c>
      <c r="J72" s="253">
        <v>30</v>
      </c>
      <c r="K72" s="253">
        <f t="shared" si="15"/>
        <v>5536.8300000000008</v>
      </c>
      <c r="L72" s="253">
        <f>C72*D72*12-31828</f>
        <v>233939.84000000003</v>
      </c>
      <c r="M72" s="89"/>
      <c r="N72" s="85"/>
      <c r="O72" s="11"/>
      <c r="P72" s="11"/>
      <c r="Q72" s="11"/>
      <c r="R72" s="11"/>
      <c r="S72" s="11"/>
      <c r="T72" s="11"/>
      <c r="U72" s="11"/>
      <c r="V72" s="11"/>
      <c r="W72" s="11"/>
    </row>
    <row r="73" spans="1:23" s="1" customFormat="1" ht="25.5" x14ac:dyDescent="0.25">
      <c r="A73" s="19" t="s">
        <v>561</v>
      </c>
      <c r="B73" s="253" t="s">
        <v>160</v>
      </c>
      <c r="C73" s="134">
        <v>0.5</v>
      </c>
      <c r="D73" s="253">
        <f t="shared" si="12"/>
        <v>29529.760000000006</v>
      </c>
      <c r="E73" s="134">
        <v>14197</v>
      </c>
      <c r="F73" s="253">
        <f t="shared" si="13"/>
        <v>2839.4</v>
      </c>
      <c r="G73" s="253">
        <f>E73*0.1</f>
        <v>1419.7</v>
      </c>
      <c r="H73" s="253">
        <v>30</v>
      </c>
      <c r="I73" s="253">
        <f t="shared" si="14"/>
        <v>5536.8300000000008</v>
      </c>
      <c r="J73" s="253">
        <v>30</v>
      </c>
      <c r="K73" s="253">
        <f t="shared" si="15"/>
        <v>5536.8300000000008</v>
      </c>
      <c r="L73" s="253">
        <f t="shared" ref="L73:L74" si="17">C73*D73*12</f>
        <v>177178.56000000003</v>
      </c>
      <c r="M73" s="89"/>
      <c r="N73" s="85"/>
      <c r="O73" s="11"/>
      <c r="P73" s="11"/>
      <c r="Q73" s="11"/>
      <c r="R73" s="11"/>
      <c r="S73" s="11"/>
      <c r="T73" s="11"/>
      <c r="U73" s="11"/>
      <c r="V73" s="11"/>
      <c r="W73" s="11"/>
    </row>
    <row r="74" spans="1:23" s="1" customFormat="1" x14ac:dyDescent="0.25">
      <c r="A74" s="19" t="s">
        <v>600</v>
      </c>
      <c r="B74" s="253" t="s">
        <v>161</v>
      </c>
      <c r="C74" s="134">
        <v>1</v>
      </c>
      <c r="D74" s="253">
        <f t="shared" si="12"/>
        <v>26097.599999999999</v>
      </c>
      <c r="E74" s="134">
        <v>10874</v>
      </c>
      <c r="F74" s="253">
        <f t="shared" si="13"/>
        <v>2174.8000000000002</v>
      </c>
      <c r="G74" s="253">
        <f>E74*0.3</f>
        <v>3262.2</v>
      </c>
      <c r="H74" s="253">
        <v>30</v>
      </c>
      <c r="I74" s="253">
        <f t="shared" si="14"/>
        <v>4893.3</v>
      </c>
      <c r="J74" s="253">
        <v>30</v>
      </c>
      <c r="K74" s="253">
        <f t="shared" si="15"/>
        <v>4893.3</v>
      </c>
      <c r="L74" s="253">
        <f t="shared" si="17"/>
        <v>313171.19999999995</v>
      </c>
      <c r="M74" s="89"/>
      <c r="N74" s="85"/>
      <c r="O74" s="11"/>
      <c r="P74" s="11"/>
      <c r="Q74" s="11"/>
      <c r="R74" s="11"/>
      <c r="S74" s="11"/>
      <c r="T74" s="11"/>
      <c r="U74" s="11"/>
      <c r="V74" s="11"/>
      <c r="W74" s="11"/>
    </row>
    <row r="75" spans="1:23" s="1" customFormat="1" x14ac:dyDescent="0.25">
      <c r="A75" s="19" t="s">
        <v>562</v>
      </c>
      <c r="B75" s="253" t="s">
        <v>162</v>
      </c>
      <c r="C75" s="134">
        <v>0.75</v>
      </c>
      <c r="D75" s="253">
        <f t="shared" si="12"/>
        <v>26097.599999999999</v>
      </c>
      <c r="E75" s="134">
        <v>10874</v>
      </c>
      <c r="F75" s="253">
        <f t="shared" si="13"/>
        <v>2174.8000000000002</v>
      </c>
      <c r="G75" s="253">
        <f>E75*0.3</f>
        <v>3262.2</v>
      </c>
      <c r="H75" s="253">
        <v>30</v>
      </c>
      <c r="I75" s="253">
        <f t="shared" si="14"/>
        <v>4893.3</v>
      </c>
      <c r="J75" s="253">
        <v>30</v>
      </c>
      <c r="K75" s="253">
        <f t="shared" si="15"/>
        <v>4893.3</v>
      </c>
      <c r="L75" s="253">
        <f>C75*D75*12-35496</f>
        <v>199382.39999999997</v>
      </c>
      <c r="M75" s="89"/>
      <c r="N75" s="85"/>
      <c r="O75" s="11"/>
      <c r="P75" s="11"/>
      <c r="Q75" s="11"/>
      <c r="R75" s="11"/>
      <c r="S75" s="11"/>
      <c r="T75" s="11"/>
      <c r="U75" s="11"/>
      <c r="V75" s="11"/>
      <c r="W75" s="11"/>
    </row>
    <row r="76" spans="1:23" s="1" customFormat="1" x14ac:dyDescent="0.25">
      <c r="A76" s="19" t="s">
        <v>563</v>
      </c>
      <c r="B76" s="253" t="s">
        <v>163</v>
      </c>
      <c r="C76" s="134">
        <v>1</v>
      </c>
      <c r="D76" s="253">
        <f t="shared" si="12"/>
        <v>26097.599999999999</v>
      </c>
      <c r="E76" s="134">
        <v>10874</v>
      </c>
      <c r="F76" s="253">
        <f t="shared" si="13"/>
        <v>2174.8000000000002</v>
      </c>
      <c r="G76" s="253">
        <f>E76*0.3</f>
        <v>3262.2</v>
      </c>
      <c r="H76" s="253">
        <v>30</v>
      </c>
      <c r="I76" s="253">
        <f t="shared" si="14"/>
        <v>4893.3</v>
      </c>
      <c r="J76" s="253">
        <v>30</v>
      </c>
      <c r="K76" s="253">
        <f t="shared" si="15"/>
        <v>4893.3</v>
      </c>
      <c r="L76" s="253">
        <f>C76*D76*12-42212</f>
        <v>270959.19999999995</v>
      </c>
      <c r="M76" s="89"/>
      <c r="N76" s="85"/>
      <c r="O76" s="11"/>
      <c r="P76" s="11"/>
      <c r="Q76" s="11"/>
      <c r="R76" s="11"/>
      <c r="S76" s="11"/>
      <c r="T76" s="11"/>
      <c r="U76" s="11"/>
      <c r="V76" s="11"/>
      <c r="W76" s="11"/>
    </row>
    <row r="77" spans="1:23" s="1" customFormat="1" x14ac:dyDescent="0.25">
      <c r="A77" s="19" t="s">
        <v>601</v>
      </c>
      <c r="B77" s="253" t="s">
        <v>164</v>
      </c>
      <c r="C77" s="134">
        <v>1</v>
      </c>
      <c r="D77" s="253">
        <f t="shared" si="12"/>
        <v>27105.119999999999</v>
      </c>
      <c r="E77" s="134">
        <v>8067</v>
      </c>
      <c r="F77" s="253">
        <f t="shared" si="13"/>
        <v>1613.4</v>
      </c>
      <c r="G77" s="253">
        <f>E77*0.9</f>
        <v>7260.3</v>
      </c>
      <c r="H77" s="253">
        <v>30</v>
      </c>
      <c r="I77" s="253">
        <f t="shared" si="14"/>
        <v>5082.21</v>
      </c>
      <c r="J77" s="253">
        <v>30</v>
      </c>
      <c r="K77" s="253">
        <f t="shared" si="15"/>
        <v>5082.21</v>
      </c>
      <c r="L77" s="253">
        <f>C77*D77*12-21106</f>
        <v>304155.44</v>
      </c>
      <c r="M77" s="89"/>
      <c r="N77" s="85"/>
      <c r="O77" s="11"/>
      <c r="P77" s="11"/>
      <c r="Q77" s="11"/>
      <c r="R77" s="11"/>
      <c r="S77" s="11"/>
      <c r="T77" s="11"/>
      <c r="U77" s="11"/>
      <c r="V77" s="11"/>
      <c r="W77" s="11"/>
    </row>
    <row r="78" spans="1:23" s="1" customFormat="1" x14ac:dyDescent="0.25">
      <c r="A78" s="19" t="s">
        <v>564</v>
      </c>
      <c r="B78" s="253" t="s">
        <v>165</v>
      </c>
      <c r="C78" s="134">
        <v>0.75</v>
      </c>
      <c r="D78" s="253">
        <f t="shared" si="12"/>
        <v>27105.119999999999</v>
      </c>
      <c r="E78" s="134">
        <v>8067</v>
      </c>
      <c r="F78" s="253">
        <f t="shared" si="13"/>
        <v>1613.4</v>
      </c>
      <c r="G78" s="253">
        <f>E78*0.9</f>
        <v>7260.3</v>
      </c>
      <c r="H78" s="253">
        <v>30</v>
      </c>
      <c r="I78" s="253">
        <f t="shared" si="14"/>
        <v>5082.21</v>
      </c>
      <c r="J78" s="253">
        <v>30</v>
      </c>
      <c r="K78" s="253">
        <f t="shared" si="15"/>
        <v>5082.21</v>
      </c>
      <c r="L78" s="253">
        <f>C78*D78*12-26700</f>
        <v>217246.08000000002</v>
      </c>
      <c r="M78" s="89"/>
      <c r="N78" s="85"/>
      <c r="O78" s="11"/>
      <c r="P78" s="11"/>
      <c r="Q78" s="11"/>
      <c r="R78" s="11"/>
      <c r="S78" s="11"/>
      <c r="T78" s="11"/>
      <c r="U78" s="11"/>
      <c r="V78" s="11"/>
      <c r="W78" s="11"/>
    </row>
    <row r="79" spans="1:23" s="1" customFormat="1" ht="25.5" x14ac:dyDescent="0.25">
      <c r="A79" s="19" t="s">
        <v>565</v>
      </c>
      <c r="B79" s="253" t="s">
        <v>166</v>
      </c>
      <c r="C79" s="134">
        <v>5</v>
      </c>
      <c r="D79" s="253">
        <f t="shared" si="12"/>
        <v>29577.279999999999</v>
      </c>
      <c r="E79" s="134">
        <v>10874</v>
      </c>
      <c r="F79" s="253">
        <f t="shared" si="13"/>
        <v>2174.8000000000002</v>
      </c>
      <c r="G79" s="253">
        <f>E79*0.5</f>
        <v>5437</v>
      </c>
      <c r="H79" s="253">
        <v>30</v>
      </c>
      <c r="I79" s="253">
        <f t="shared" si="14"/>
        <v>5545.74</v>
      </c>
      <c r="J79" s="253">
        <v>30</v>
      </c>
      <c r="K79" s="253">
        <f t="shared" si="15"/>
        <v>5545.74</v>
      </c>
      <c r="L79" s="253">
        <f>C79*D79*12-29112</f>
        <v>1745524.7999999998</v>
      </c>
      <c r="M79" s="89"/>
      <c r="N79" s="85"/>
      <c r="O79" s="11"/>
      <c r="P79" s="11"/>
      <c r="Q79" s="11"/>
      <c r="R79" s="11"/>
      <c r="S79" s="11"/>
      <c r="T79" s="11"/>
      <c r="U79" s="11"/>
      <c r="V79" s="11"/>
      <c r="W79" s="11"/>
    </row>
    <row r="80" spans="1:23" s="1" customFormat="1" ht="14.25" customHeight="1" x14ac:dyDescent="0.25">
      <c r="A80" s="19" t="s">
        <v>566</v>
      </c>
      <c r="B80" s="253" t="s">
        <v>167</v>
      </c>
      <c r="C80" s="134">
        <v>5</v>
      </c>
      <c r="D80" s="253">
        <f t="shared" si="12"/>
        <v>33056.959999999999</v>
      </c>
      <c r="E80" s="134">
        <v>10874</v>
      </c>
      <c r="F80" s="253">
        <f t="shared" si="13"/>
        <v>2174.8000000000002</v>
      </c>
      <c r="G80" s="253">
        <f>E80*0.7</f>
        <v>7611.7999999999993</v>
      </c>
      <c r="H80" s="253">
        <v>30</v>
      </c>
      <c r="I80" s="253">
        <f t="shared" si="14"/>
        <v>6198.18</v>
      </c>
      <c r="J80" s="253">
        <v>30</v>
      </c>
      <c r="K80" s="253">
        <f t="shared" si="15"/>
        <v>6198.18</v>
      </c>
      <c r="L80" s="253">
        <f>C80*D80*12-300728</f>
        <v>1682689.5999999999</v>
      </c>
      <c r="M80" s="89"/>
      <c r="N80" s="85"/>
      <c r="O80" s="11"/>
      <c r="P80" s="11"/>
      <c r="Q80" s="11"/>
      <c r="R80" s="11"/>
      <c r="S80" s="11"/>
      <c r="T80" s="11"/>
      <c r="U80" s="11"/>
      <c r="V80" s="11"/>
      <c r="W80" s="11"/>
    </row>
    <row r="81" spans="1:23" s="1" customFormat="1" ht="25.5" x14ac:dyDescent="0.25">
      <c r="A81" s="19" t="s">
        <v>567</v>
      </c>
      <c r="B81" s="253" t="s">
        <v>168</v>
      </c>
      <c r="C81" s="134">
        <v>2</v>
      </c>
      <c r="D81" s="253">
        <f t="shared" si="12"/>
        <v>26553.599999999999</v>
      </c>
      <c r="E81" s="134">
        <v>5532</v>
      </c>
      <c r="F81" s="253">
        <f t="shared" si="13"/>
        <v>1106.4000000000001</v>
      </c>
      <c r="G81" s="253">
        <f>E81*1.8</f>
        <v>9957.6</v>
      </c>
      <c r="H81" s="253">
        <v>30</v>
      </c>
      <c r="I81" s="253">
        <f t="shared" si="14"/>
        <v>4978.8</v>
      </c>
      <c r="J81" s="253">
        <v>30</v>
      </c>
      <c r="K81" s="253">
        <f t="shared" si="15"/>
        <v>4978.8</v>
      </c>
      <c r="L81" s="253">
        <f>C81*D81*12-29597</f>
        <v>607689.39999999991</v>
      </c>
      <c r="M81" s="89"/>
      <c r="N81" s="85"/>
      <c r="O81" s="11"/>
      <c r="P81" s="11"/>
      <c r="Q81" s="11"/>
      <c r="R81" s="11"/>
      <c r="S81" s="11"/>
      <c r="T81" s="11"/>
      <c r="U81" s="11"/>
      <c r="V81" s="11"/>
      <c r="W81" s="11"/>
    </row>
    <row r="82" spans="1:23" s="1" customFormat="1" ht="25.5" x14ac:dyDescent="0.25">
      <c r="A82" s="19" t="s">
        <v>568</v>
      </c>
      <c r="B82" s="253" t="s">
        <v>169</v>
      </c>
      <c r="C82" s="134">
        <v>1</v>
      </c>
      <c r="D82" s="253">
        <f t="shared" si="12"/>
        <v>29577.279999999999</v>
      </c>
      <c r="E82" s="134">
        <v>10874</v>
      </c>
      <c r="F82" s="253">
        <f t="shared" si="13"/>
        <v>2174.8000000000002</v>
      </c>
      <c r="G82" s="253">
        <f>E82*0.5</f>
        <v>5437</v>
      </c>
      <c r="H82" s="253">
        <v>30</v>
      </c>
      <c r="I82" s="253">
        <f t="shared" si="14"/>
        <v>5545.74</v>
      </c>
      <c r="J82" s="253">
        <v>30</v>
      </c>
      <c r="K82" s="253">
        <f t="shared" si="15"/>
        <v>5545.74</v>
      </c>
      <c r="L82" s="253">
        <f t="shared" ref="L82" si="18">C82*D82*12</f>
        <v>354927.35999999999</v>
      </c>
      <c r="M82" s="89"/>
      <c r="N82" s="85"/>
      <c r="O82" s="11"/>
      <c r="P82" s="11"/>
      <c r="Q82" s="11"/>
      <c r="R82" s="11"/>
      <c r="S82" s="11"/>
      <c r="T82" s="11"/>
      <c r="U82" s="11"/>
      <c r="V82" s="11"/>
      <c r="W82" s="11"/>
    </row>
    <row r="83" spans="1:23" s="1" customFormat="1" x14ac:dyDescent="0.25">
      <c r="A83" s="19" t="s">
        <v>569</v>
      </c>
      <c r="B83" s="253" t="s">
        <v>170</v>
      </c>
      <c r="C83" s="134">
        <v>1</v>
      </c>
      <c r="D83" s="253">
        <f t="shared" si="12"/>
        <v>29577.279999999999</v>
      </c>
      <c r="E83" s="134">
        <v>10874</v>
      </c>
      <c r="F83" s="253">
        <f t="shared" si="13"/>
        <v>2174.8000000000002</v>
      </c>
      <c r="G83" s="253">
        <f t="shared" ref="G83:G87" si="19">E83*0.5</f>
        <v>5437</v>
      </c>
      <c r="H83" s="253">
        <v>30</v>
      </c>
      <c r="I83" s="253">
        <f t="shared" si="14"/>
        <v>5545.74</v>
      </c>
      <c r="J83" s="253">
        <v>30</v>
      </c>
      <c r="K83" s="253">
        <f t="shared" si="15"/>
        <v>5545.74</v>
      </c>
      <c r="L83" s="253">
        <f>C83*D83*12-29801</f>
        <v>325126.36</v>
      </c>
      <c r="M83" s="89"/>
      <c r="N83" s="85"/>
      <c r="O83" s="11"/>
      <c r="P83" s="11"/>
      <c r="Q83" s="11"/>
      <c r="R83" s="11"/>
      <c r="S83" s="11"/>
      <c r="T83" s="11"/>
      <c r="U83" s="11"/>
      <c r="V83" s="11"/>
      <c r="W83" s="11"/>
    </row>
    <row r="84" spans="1:23" s="1" customFormat="1" x14ac:dyDescent="0.25">
      <c r="A84" s="19" t="s">
        <v>570</v>
      </c>
      <c r="B84" s="253" t="s">
        <v>171</v>
      </c>
      <c r="C84" s="134">
        <v>1</v>
      </c>
      <c r="D84" s="253">
        <f t="shared" si="12"/>
        <v>29577.279999999999</v>
      </c>
      <c r="E84" s="134">
        <v>10874</v>
      </c>
      <c r="F84" s="253">
        <f t="shared" si="13"/>
        <v>2174.8000000000002</v>
      </c>
      <c r="G84" s="253">
        <f t="shared" si="19"/>
        <v>5437</v>
      </c>
      <c r="H84" s="253">
        <v>30</v>
      </c>
      <c r="I84" s="253">
        <f t="shared" si="14"/>
        <v>5545.74</v>
      </c>
      <c r="J84" s="253">
        <v>30</v>
      </c>
      <c r="K84" s="253">
        <f t="shared" si="15"/>
        <v>5545.74</v>
      </c>
      <c r="L84" s="253">
        <f>C84*D84*12-28846</f>
        <v>326081.36</v>
      </c>
      <c r="M84" s="89"/>
      <c r="N84" s="85"/>
      <c r="O84" s="11"/>
      <c r="P84" s="11"/>
      <c r="Q84" s="11"/>
      <c r="R84" s="11"/>
      <c r="S84" s="11"/>
      <c r="T84" s="11"/>
      <c r="U84" s="11"/>
      <c r="V84" s="11"/>
      <c r="W84" s="11"/>
    </row>
    <row r="85" spans="1:23" s="1" customFormat="1" x14ac:dyDescent="0.25">
      <c r="A85" s="19" t="s">
        <v>571</v>
      </c>
      <c r="B85" s="253" t="s">
        <v>172</v>
      </c>
      <c r="C85" s="134">
        <v>0.5</v>
      </c>
      <c r="D85" s="253">
        <f t="shared" si="12"/>
        <v>29577.279999999999</v>
      </c>
      <c r="E85" s="134">
        <v>10874</v>
      </c>
      <c r="F85" s="253">
        <f t="shared" si="13"/>
        <v>2174.8000000000002</v>
      </c>
      <c r="G85" s="253">
        <f t="shared" si="19"/>
        <v>5437</v>
      </c>
      <c r="H85" s="253">
        <v>30</v>
      </c>
      <c r="I85" s="253">
        <f t="shared" si="14"/>
        <v>5545.74</v>
      </c>
      <c r="J85" s="253">
        <v>30</v>
      </c>
      <c r="K85" s="253">
        <f t="shared" si="15"/>
        <v>5545.74</v>
      </c>
      <c r="L85" s="253">
        <f>C85*D85*12-29714</f>
        <v>147749.68</v>
      </c>
      <c r="M85" s="89"/>
      <c r="N85" s="85"/>
      <c r="O85" s="11"/>
      <c r="P85" s="11"/>
      <c r="Q85" s="11"/>
      <c r="R85" s="11"/>
      <c r="S85" s="11"/>
      <c r="T85" s="11"/>
      <c r="U85" s="11"/>
      <c r="V85" s="11"/>
      <c r="W85" s="11"/>
    </row>
    <row r="86" spans="1:23" s="1" customFormat="1" x14ac:dyDescent="0.25">
      <c r="A86" s="19" t="s">
        <v>572</v>
      </c>
      <c r="B86" s="253" t="s">
        <v>173</v>
      </c>
      <c r="C86" s="134">
        <v>1</v>
      </c>
      <c r="D86" s="253">
        <f t="shared" si="12"/>
        <v>29577.279999999999</v>
      </c>
      <c r="E86" s="134">
        <v>10874</v>
      </c>
      <c r="F86" s="253">
        <f t="shared" si="13"/>
        <v>2174.8000000000002</v>
      </c>
      <c r="G86" s="253">
        <f t="shared" si="19"/>
        <v>5437</v>
      </c>
      <c r="H86" s="253">
        <v>30</v>
      </c>
      <c r="I86" s="253">
        <f t="shared" si="14"/>
        <v>5545.74</v>
      </c>
      <c r="J86" s="253">
        <v>30</v>
      </c>
      <c r="K86" s="253">
        <f t="shared" si="15"/>
        <v>5545.74</v>
      </c>
      <c r="L86" s="253">
        <f t="shared" ref="L86" si="20">C86*D86*12</f>
        <v>354927.35999999999</v>
      </c>
      <c r="M86" s="89"/>
      <c r="N86" s="85"/>
      <c r="O86" s="11"/>
      <c r="P86" s="11"/>
      <c r="Q86" s="11"/>
      <c r="R86" s="11"/>
      <c r="S86" s="11"/>
      <c r="T86" s="11"/>
      <c r="U86" s="11"/>
      <c r="V86" s="11"/>
      <c r="W86" s="11"/>
    </row>
    <row r="87" spans="1:23" s="1" customFormat="1" x14ac:dyDescent="0.25">
      <c r="A87" s="19" t="s">
        <v>573</v>
      </c>
      <c r="B87" s="253" t="s">
        <v>174</v>
      </c>
      <c r="C87" s="134">
        <v>1</v>
      </c>
      <c r="D87" s="253">
        <f t="shared" si="12"/>
        <v>29577.279999999999</v>
      </c>
      <c r="E87" s="134">
        <v>10874</v>
      </c>
      <c r="F87" s="253">
        <f t="shared" si="13"/>
        <v>2174.8000000000002</v>
      </c>
      <c r="G87" s="253">
        <f t="shared" si="19"/>
        <v>5437</v>
      </c>
      <c r="H87" s="253">
        <v>30</v>
      </c>
      <c r="I87" s="253">
        <f t="shared" si="14"/>
        <v>5545.74</v>
      </c>
      <c r="J87" s="253">
        <v>30</v>
      </c>
      <c r="K87" s="253">
        <f t="shared" si="15"/>
        <v>5545.74</v>
      </c>
      <c r="L87" s="253">
        <f>C87*D87*12-28842</f>
        <v>326085.36</v>
      </c>
      <c r="M87" s="89"/>
      <c r="N87" s="85"/>
      <c r="O87" s="11"/>
      <c r="P87" s="11"/>
      <c r="Q87" s="11"/>
      <c r="R87" s="11"/>
      <c r="S87" s="11"/>
      <c r="T87" s="11"/>
      <c r="U87" s="11"/>
      <c r="V87" s="11"/>
      <c r="W87" s="11"/>
    </row>
    <row r="88" spans="1:23" s="1" customFormat="1" x14ac:dyDescent="0.25">
      <c r="A88" s="19" t="s">
        <v>574</v>
      </c>
      <c r="B88" s="253" t="s">
        <v>175</v>
      </c>
      <c r="C88" s="134">
        <v>1</v>
      </c>
      <c r="D88" s="253">
        <f t="shared" si="12"/>
        <v>29529.760000000006</v>
      </c>
      <c r="E88" s="134">
        <v>14197</v>
      </c>
      <c r="F88" s="253">
        <f t="shared" si="13"/>
        <v>2839.4</v>
      </c>
      <c r="G88" s="253">
        <f>E88*0.1</f>
        <v>1419.7</v>
      </c>
      <c r="H88" s="253">
        <v>30</v>
      </c>
      <c r="I88" s="253">
        <f t="shared" si="14"/>
        <v>5536.8300000000008</v>
      </c>
      <c r="J88" s="253">
        <v>30</v>
      </c>
      <c r="K88" s="253">
        <f t="shared" si="15"/>
        <v>5536.8300000000008</v>
      </c>
      <c r="L88" s="253">
        <f>C88*D88*12-38897</f>
        <v>315460.12000000005</v>
      </c>
      <c r="M88" s="89"/>
      <c r="N88" s="85"/>
      <c r="O88" s="11"/>
      <c r="P88" s="11"/>
      <c r="Q88" s="11"/>
      <c r="R88" s="11"/>
      <c r="S88" s="11"/>
      <c r="T88" s="11"/>
      <c r="U88" s="11"/>
      <c r="V88" s="11"/>
      <c r="W88" s="11"/>
    </row>
    <row r="89" spans="1:23" s="1" customFormat="1" x14ac:dyDescent="0.25">
      <c r="A89" s="19" t="s">
        <v>575</v>
      </c>
      <c r="B89" s="253" t="s">
        <v>176</v>
      </c>
      <c r="C89" s="134">
        <v>0.25</v>
      </c>
      <c r="D89" s="253">
        <f t="shared" si="12"/>
        <v>26067.52</v>
      </c>
      <c r="E89" s="134">
        <v>5618</v>
      </c>
      <c r="F89" s="253">
        <f t="shared" si="13"/>
        <v>1123.5999999999999</v>
      </c>
      <c r="G89" s="253">
        <f>E89*1.7</f>
        <v>9550.6</v>
      </c>
      <c r="H89" s="253">
        <v>30</v>
      </c>
      <c r="I89" s="253">
        <f t="shared" si="14"/>
        <v>4887.66</v>
      </c>
      <c r="J89" s="253">
        <v>30</v>
      </c>
      <c r="K89" s="253">
        <f t="shared" si="15"/>
        <v>4887.66</v>
      </c>
      <c r="L89" s="253">
        <f>C89*D89*12-21106</f>
        <v>57096.56</v>
      </c>
      <c r="M89" s="89"/>
      <c r="N89" s="85"/>
      <c r="O89" s="11"/>
      <c r="P89" s="11"/>
      <c r="Q89" s="11"/>
      <c r="R89" s="11"/>
      <c r="S89" s="11"/>
      <c r="T89" s="11"/>
      <c r="U89" s="11"/>
      <c r="V89" s="11"/>
      <c r="W89" s="11"/>
    </row>
    <row r="90" spans="1:23" s="1" customFormat="1" x14ac:dyDescent="0.25">
      <c r="A90" s="19" t="s">
        <v>576</v>
      </c>
      <c r="B90" s="253" t="s">
        <v>177</v>
      </c>
      <c r="C90" s="134">
        <v>0.25</v>
      </c>
      <c r="D90" s="253">
        <f t="shared" si="12"/>
        <v>26067.52</v>
      </c>
      <c r="E90" s="134">
        <v>5618</v>
      </c>
      <c r="F90" s="253">
        <f t="shared" si="13"/>
        <v>1123.5999999999999</v>
      </c>
      <c r="G90" s="253">
        <f>E90*1.7</f>
        <v>9550.6</v>
      </c>
      <c r="H90" s="253">
        <v>30</v>
      </c>
      <c r="I90" s="253">
        <f t="shared" si="14"/>
        <v>4887.66</v>
      </c>
      <c r="J90" s="253">
        <v>30</v>
      </c>
      <c r="K90" s="253">
        <f t="shared" si="15"/>
        <v>4887.66</v>
      </c>
      <c r="L90" s="253">
        <f>C90*D90*12-26325</f>
        <v>51877.56</v>
      </c>
      <c r="M90" s="89"/>
      <c r="N90" s="85"/>
      <c r="O90" s="11"/>
      <c r="P90" s="11"/>
      <c r="Q90" s="11"/>
      <c r="R90" s="11"/>
      <c r="S90" s="11"/>
      <c r="T90" s="11"/>
      <c r="U90" s="11"/>
      <c r="V90" s="11"/>
      <c r="W90" s="11"/>
    </row>
    <row r="91" spans="1:23" s="1" customFormat="1" ht="25.5" x14ac:dyDescent="0.25">
      <c r="A91" s="19" t="s">
        <v>577</v>
      </c>
      <c r="B91" s="253" t="s">
        <v>178</v>
      </c>
      <c r="C91" s="134">
        <v>1</v>
      </c>
      <c r="D91" s="253">
        <f t="shared" si="12"/>
        <v>26067.52</v>
      </c>
      <c r="E91" s="134">
        <v>5618</v>
      </c>
      <c r="F91" s="253">
        <f t="shared" si="13"/>
        <v>1123.5999999999999</v>
      </c>
      <c r="G91" s="253">
        <f>E91*1.7</f>
        <v>9550.6</v>
      </c>
      <c r="H91" s="253">
        <v>30</v>
      </c>
      <c r="I91" s="253">
        <f t="shared" si="14"/>
        <v>4887.66</v>
      </c>
      <c r="J91" s="253">
        <v>30</v>
      </c>
      <c r="K91" s="253">
        <f t="shared" si="15"/>
        <v>4887.66</v>
      </c>
      <c r="L91" s="253">
        <f>C91*D91*12-33125</f>
        <v>279685.24</v>
      </c>
      <c r="M91" s="89"/>
      <c r="N91" s="85"/>
      <c r="O91" s="11"/>
      <c r="P91" s="11"/>
      <c r="Q91" s="11"/>
      <c r="R91" s="11"/>
      <c r="S91" s="11"/>
      <c r="T91" s="11"/>
      <c r="U91" s="11"/>
      <c r="V91" s="11"/>
      <c r="W91" s="11"/>
    </row>
    <row r="92" spans="1:23" s="1" customFormat="1" x14ac:dyDescent="0.25">
      <c r="A92" s="228" t="s">
        <v>632</v>
      </c>
      <c r="B92" s="96"/>
      <c r="C92" s="323"/>
      <c r="D92" s="324"/>
      <c r="E92" s="324"/>
      <c r="F92" s="324"/>
      <c r="G92" s="324"/>
      <c r="H92" s="324"/>
      <c r="I92" s="324"/>
      <c r="J92" s="324"/>
      <c r="K92" s="325"/>
      <c r="L92" s="253">
        <f>SUM(L64:L91)</f>
        <v>11186961.99734468</v>
      </c>
      <c r="M92" s="89"/>
      <c r="N92" s="85"/>
      <c r="O92" s="11"/>
      <c r="P92" s="11"/>
      <c r="Q92" s="11"/>
      <c r="R92" s="11"/>
      <c r="S92" s="11"/>
      <c r="T92" s="11"/>
      <c r="U92" s="11"/>
      <c r="V92" s="11"/>
      <c r="W92" s="11"/>
    </row>
    <row r="93" spans="1:23" s="1" customFormat="1" ht="38.25" x14ac:dyDescent="0.25">
      <c r="A93" s="229" t="s">
        <v>633</v>
      </c>
      <c r="B93" s="254"/>
      <c r="C93" s="323"/>
      <c r="D93" s="324"/>
      <c r="E93" s="324"/>
      <c r="F93" s="324"/>
      <c r="G93" s="324"/>
      <c r="H93" s="324"/>
      <c r="I93" s="324"/>
      <c r="J93" s="324"/>
      <c r="K93" s="325"/>
      <c r="L93" s="253">
        <v>80000</v>
      </c>
      <c r="M93" s="89"/>
      <c r="N93" s="85"/>
      <c r="O93" s="11"/>
      <c r="P93" s="11"/>
      <c r="Q93" s="11"/>
      <c r="R93" s="11"/>
      <c r="S93" s="11"/>
      <c r="T93" s="11"/>
      <c r="U93" s="11"/>
      <c r="V93" s="11"/>
      <c r="W93" s="11"/>
    </row>
    <row r="94" spans="1:23" s="1" customFormat="1" x14ac:dyDescent="0.25">
      <c r="A94" s="140" t="s">
        <v>427</v>
      </c>
      <c r="B94" s="139" t="s">
        <v>1</v>
      </c>
      <c r="C94" s="30">
        <f>SUM(C64:C93)</f>
        <v>31.5</v>
      </c>
      <c r="D94" s="139" t="s">
        <v>1</v>
      </c>
      <c r="E94" s="139" t="s">
        <v>1</v>
      </c>
      <c r="F94" s="139" t="s">
        <v>1</v>
      </c>
      <c r="G94" s="139" t="s">
        <v>1</v>
      </c>
      <c r="H94" s="139" t="s">
        <v>1</v>
      </c>
      <c r="I94" s="139" t="s">
        <v>1</v>
      </c>
      <c r="J94" s="139" t="s">
        <v>1</v>
      </c>
      <c r="K94" s="139" t="s">
        <v>1</v>
      </c>
      <c r="L94" s="30">
        <f>SUM(L92:L93)</f>
        <v>11266961.99734468</v>
      </c>
      <c r="M94" s="157"/>
      <c r="N94" s="85"/>
      <c r="O94" s="11"/>
      <c r="P94" s="11"/>
      <c r="Q94" s="11"/>
      <c r="R94" s="11"/>
      <c r="S94" s="11"/>
      <c r="T94" s="11"/>
      <c r="U94" s="11"/>
      <c r="V94" s="11"/>
      <c r="W94" s="11"/>
    </row>
    <row r="95" spans="1:23" s="1" customFormat="1" x14ac:dyDescent="0.25">
      <c r="A95" s="24"/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11"/>
      <c r="P95" s="11"/>
      <c r="Q95" s="11"/>
      <c r="R95" s="11"/>
      <c r="S95" s="11"/>
      <c r="T95" s="11"/>
      <c r="U95" s="11"/>
      <c r="V95" s="11"/>
      <c r="W95" s="11"/>
    </row>
    <row r="96" spans="1:23" s="1" customFormat="1" x14ac:dyDescent="0.25">
      <c r="A96" s="24" t="s">
        <v>655</v>
      </c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11"/>
      <c r="P96" s="11"/>
      <c r="Q96" s="11"/>
      <c r="R96" s="11"/>
      <c r="S96" s="11"/>
      <c r="T96" s="11"/>
      <c r="U96" s="11"/>
      <c r="V96" s="11"/>
      <c r="W96" s="11"/>
    </row>
    <row r="97" spans="1:23" s="1" customFormat="1" ht="7.5" customHeight="1" x14ac:dyDescent="0.25">
      <c r="A97" s="24"/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11"/>
      <c r="P97" s="11"/>
      <c r="Q97" s="11"/>
      <c r="R97" s="11"/>
      <c r="S97" s="11"/>
      <c r="T97" s="11"/>
      <c r="U97" s="11"/>
      <c r="V97" s="11"/>
      <c r="W97" s="11"/>
    </row>
    <row r="98" spans="1:23" s="1" customFormat="1" ht="15.75" customHeight="1" x14ac:dyDescent="0.25">
      <c r="A98" s="299" t="s">
        <v>339</v>
      </c>
      <c r="B98" s="308" t="s">
        <v>72</v>
      </c>
      <c r="C98" s="308" t="s">
        <v>57</v>
      </c>
      <c r="D98" s="275" t="s">
        <v>107</v>
      </c>
      <c r="E98" s="275"/>
      <c r="F98" s="275"/>
      <c r="G98" s="275"/>
      <c r="H98" s="275"/>
      <c r="I98" s="275"/>
      <c r="J98" s="275"/>
      <c r="K98" s="275"/>
      <c r="L98" s="307" t="s">
        <v>108</v>
      </c>
      <c r="M98" s="155"/>
      <c r="N98" s="85"/>
      <c r="O98" s="11"/>
      <c r="P98" s="11"/>
      <c r="Q98" s="11"/>
      <c r="R98" s="11"/>
      <c r="S98" s="11"/>
      <c r="T98" s="11"/>
      <c r="U98" s="11"/>
      <c r="V98" s="11"/>
      <c r="W98" s="11"/>
    </row>
    <row r="99" spans="1:23" s="1" customFormat="1" ht="15.75" customHeight="1" x14ac:dyDescent="0.25">
      <c r="A99" s="299"/>
      <c r="B99" s="308"/>
      <c r="C99" s="308"/>
      <c r="D99" s="307" t="s">
        <v>340</v>
      </c>
      <c r="E99" s="275" t="s">
        <v>109</v>
      </c>
      <c r="F99" s="275"/>
      <c r="G99" s="275"/>
      <c r="H99" s="275"/>
      <c r="I99" s="275"/>
      <c r="J99" s="275"/>
      <c r="K99" s="275"/>
      <c r="L99" s="307"/>
      <c r="M99" s="155"/>
      <c r="N99" s="85"/>
      <c r="O99" s="11"/>
      <c r="P99" s="11"/>
      <c r="Q99" s="11"/>
      <c r="R99" s="11"/>
      <c r="S99" s="11"/>
      <c r="T99" s="11"/>
      <c r="U99" s="11"/>
      <c r="V99" s="11"/>
      <c r="W99" s="11"/>
    </row>
    <row r="100" spans="1:23" s="1" customFormat="1" ht="15.75" customHeight="1" x14ac:dyDescent="0.25">
      <c r="A100" s="299"/>
      <c r="B100" s="308"/>
      <c r="C100" s="308"/>
      <c r="D100" s="307"/>
      <c r="E100" s="307" t="s">
        <v>58</v>
      </c>
      <c r="F100" s="307" t="s">
        <v>179</v>
      </c>
      <c r="G100" s="329" t="s">
        <v>555</v>
      </c>
      <c r="H100" s="308" t="s">
        <v>110</v>
      </c>
      <c r="I100" s="308"/>
      <c r="J100" s="308" t="s">
        <v>111</v>
      </c>
      <c r="K100" s="308"/>
      <c r="L100" s="307"/>
      <c r="M100" s="155"/>
      <c r="N100" s="85"/>
      <c r="O100" s="11"/>
      <c r="P100" s="11"/>
      <c r="Q100" s="11"/>
      <c r="R100" s="11"/>
      <c r="S100" s="11"/>
      <c r="T100" s="11"/>
      <c r="U100" s="11"/>
      <c r="V100" s="11"/>
      <c r="W100" s="11"/>
    </row>
    <row r="101" spans="1:23" s="1" customFormat="1" ht="46.5" customHeight="1" x14ac:dyDescent="0.25">
      <c r="A101" s="299"/>
      <c r="B101" s="308"/>
      <c r="C101" s="308"/>
      <c r="D101" s="307"/>
      <c r="E101" s="307"/>
      <c r="F101" s="307"/>
      <c r="G101" s="330"/>
      <c r="H101" s="142" t="s">
        <v>112</v>
      </c>
      <c r="I101" s="141" t="s">
        <v>113</v>
      </c>
      <c r="J101" s="142" t="s">
        <v>112</v>
      </c>
      <c r="K101" s="141" t="s">
        <v>114</v>
      </c>
      <c r="L101" s="307"/>
      <c r="M101" s="155"/>
      <c r="N101" s="85"/>
      <c r="O101" s="11"/>
      <c r="P101" s="11"/>
      <c r="Q101" s="11"/>
      <c r="R101" s="11"/>
      <c r="S101" s="11"/>
      <c r="T101" s="11"/>
      <c r="U101" s="11"/>
      <c r="V101" s="11"/>
      <c r="W101" s="11"/>
    </row>
    <row r="102" spans="1:23" s="1" customFormat="1" x14ac:dyDescent="0.25">
      <c r="A102" s="140" t="s">
        <v>190</v>
      </c>
      <c r="B102" s="139" t="s">
        <v>73</v>
      </c>
      <c r="C102" s="139" t="s">
        <v>47</v>
      </c>
      <c r="D102" s="139" t="s">
        <v>48</v>
      </c>
      <c r="E102" s="139" t="s">
        <v>49</v>
      </c>
      <c r="F102" s="139" t="s">
        <v>52</v>
      </c>
      <c r="G102" s="93">
        <v>7</v>
      </c>
      <c r="H102" s="93">
        <v>8</v>
      </c>
      <c r="I102" s="93">
        <v>9</v>
      </c>
      <c r="J102" s="93">
        <v>10</v>
      </c>
      <c r="K102" s="93">
        <v>11</v>
      </c>
      <c r="L102" s="93">
        <v>12</v>
      </c>
      <c r="M102" s="156"/>
      <c r="N102" s="85"/>
      <c r="O102" s="11"/>
      <c r="P102" s="11"/>
      <c r="Q102" s="11"/>
      <c r="R102" s="11"/>
      <c r="S102" s="11"/>
      <c r="T102" s="11"/>
      <c r="U102" s="11"/>
      <c r="V102" s="11"/>
      <c r="W102" s="11"/>
    </row>
    <row r="103" spans="1:23" s="1" customFormat="1" x14ac:dyDescent="0.25">
      <c r="A103" s="19" t="s">
        <v>557</v>
      </c>
      <c r="B103" s="253" t="s">
        <v>98</v>
      </c>
      <c r="C103" s="134">
        <v>1</v>
      </c>
      <c r="D103" s="253">
        <f>E103+F103+G103+I103+K103</f>
        <v>89718.021759999989</v>
      </c>
      <c r="E103" s="253">
        <v>20170.419999999998</v>
      </c>
      <c r="F103" s="253">
        <f t="shared" ref="F103:F104" si="21">ROUND((E103*0.2),2)</f>
        <v>4034.08</v>
      </c>
      <c r="G103" s="253">
        <f>E103*1.58</f>
        <v>31869.263599999998</v>
      </c>
      <c r="H103" s="253">
        <v>30</v>
      </c>
      <c r="I103" s="253">
        <f>(E103+F103+G103)*H103/100</f>
        <v>16822.129079999999</v>
      </c>
      <c r="J103" s="253">
        <v>30</v>
      </c>
      <c r="K103" s="253">
        <f>(E103+F103+G103)*J103/100</f>
        <v>16822.129079999999</v>
      </c>
      <c r="L103" s="253">
        <f>C103*D103*12</f>
        <v>1076616.2611199999</v>
      </c>
      <c r="M103" s="89"/>
      <c r="N103" s="85"/>
      <c r="O103" s="11"/>
      <c r="P103" s="11"/>
      <c r="Q103" s="11"/>
      <c r="R103" s="11"/>
      <c r="S103" s="11"/>
      <c r="T103" s="11"/>
      <c r="U103" s="11"/>
      <c r="V103" s="11"/>
      <c r="W103" s="11"/>
    </row>
    <row r="104" spans="1:23" s="1" customFormat="1" ht="25.5" x14ac:dyDescent="0.25">
      <c r="A104" s="19" t="s">
        <v>558</v>
      </c>
      <c r="B104" s="253" t="s">
        <v>99</v>
      </c>
      <c r="C104" s="134">
        <v>1</v>
      </c>
      <c r="D104" s="253">
        <f t="shared" ref="D104" si="22">E104+F104+G104+I104+K104</f>
        <v>51987.367042190403</v>
      </c>
      <c r="E104" s="253">
        <v>18153.38</v>
      </c>
      <c r="F104" s="253">
        <f t="shared" si="21"/>
        <v>3630.68</v>
      </c>
      <c r="G104" s="253">
        <f>E104*0.58986505</f>
        <v>10708.044401369001</v>
      </c>
      <c r="H104" s="253">
        <v>30</v>
      </c>
      <c r="I104" s="253">
        <f t="shared" ref="I104" si="23">(E104+F104+G104)*H104/100</f>
        <v>9747.6313204107009</v>
      </c>
      <c r="J104" s="253">
        <v>30</v>
      </c>
      <c r="K104" s="253">
        <f t="shared" ref="K104" si="24">(E104+F104+G104)*J104/100</f>
        <v>9747.6313204107009</v>
      </c>
      <c r="L104" s="253">
        <f t="shared" ref="L104" si="25">C104*D104*12</f>
        <v>623848.40450628486</v>
      </c>
      <c r="M104" s="89"/>
      <c r="N104" s="85"/>
      <c r="O104" s="11"/>
      <c r="P104" s="11"/>
      <c r="Q104" s="11"/>
      <c r="R104" s="11"/>
      <c r="S104" s="11"/>
      <c r="T104" s="11"/>
      <c r="U104" s="11"/>
      <c r="V104" s="11"/>
      <c r="W104" s="11"/>
    </row>
    <row r="105" spans="1:23" s="1" customFormat="1" ht="27" customHeight="1" x14ac:dyDescent="0.25">
      <c r="A105" s="19" t="s">
        <v>578</v>
      </c>
      <c r="B105" s="253" t="s">
        <v>152</v>
      </c>
      <c r="C105" s="134">
        <v>0.5</v>
      </c>
      <c r="D105" s="253">
        <f>E105+F105+G105+I105+K105</f>
        <v>27105.119999999999</v>
      </c>
      <c r="E105" s="134">
        <v>8067</v>
      </c>
      <c r="F105" s="253">
        <f>ROUND((E105*0.2),2)</f>
        <v>1613.4</v>
      </c>
      <c r="G105" s="253">
        <f>E105*0.9</f>
        <v>7260.3</v>
      </c>
      <c r="H105" s="253">
        <v>30</v>
      </c>
      <c r="I105" s="253">
        <f>(E105+F105+G105)*H105/100</f>
        <v>5082.21</v>
      </c>
      <c r="J105" s="253">
        <v>30</v>
      </c>
      <c r="K105" s="253">
        <f>(E105+F105+G105)*J105/100</f>
        <v>5082.21</v>
      </c>
      <c r="L105" s="253">
        <f>C105*D105*12</f>
        <v>162630.72</v>
      </c>
      <c r="M105" s="89"/>
      <c r="N105" s="85"/>
      <c r="O105" s="11"/>
      <c r="P105" s="11"/>
      <c r="Q105" s="11"/>
      <c r="R105" s="11"/>
      <c r="S105" s="11"/>
      <c r="T105" s="11"/>
      <c r="U105" s="11"/>
      <c r="V105" s="11"/>
      <c r="W105" s="11"/>
    </row>
    <row r="106" spans="1:23" s="1" customFormat="1" x14ac:dyDescent="0.25">
      <c r="A106" s="19" t="s">
        <v>579</v>
      </c>
      <c r="B106" s="253" t="s">
        <v>154</v>
      </c>
      <c r="C106" s="134">
        <v>0.25</v>
      </c>
      <c r="D106" s="253">
        <f>E106+F106+G106+I106+K106</f>
        <v>26040</v>
      </c>
      <c r="E106" s="134">
        <v>4650</v>
      </c>
      <c r="F106" s="253">
        <f>ROUND((E106*0.2),2)</f>
        <v>930</v>
      </c>
      <c r="G106" s="253">
        <f>E106*2.3</f>
        <v>10695</v>
      </c>
      <c r="H106" s="253">
        <v>30</v>
      </c>
      <c r="I106" s="253">
        <f>(E106+F106+G106)*H106/100</f>
        <v>4882.5</v>
      </c>
      <c r="J106" s="253">
        <v>30</v>
      </c>
      <c r="K106" s="253">
        <f>(E106+F106+G106)*J106/100</f>
        <v>4882.5</v>
      </c>
      <c r="L106" s="253">
        <f>C106*D106*12</f>
        <v>78120</v>
      </c>
      <c r="M106" s="89"/>
      <c r="N106" s="85"/>
      <c r="O106" s="11"/>
      <c r="P106" s="11"/>
      <c r="Q106" s="11"/>
      <c r="R106" s="11"/>
      <c r="S106" s="11"/>
      <c r="T106" s="11"/>
      <c r="U106" s="11"/>
      <c r="V106" s="11"/>
      <c r="W106" s="11"/>
    </row>
    <row r="107" spans="1:23" s="1" customFormat="1" ht="12.75" customHeight="1" x14ac:dyDescent="0.25">
      <c r="A107" s="19" t="s">
        <v>153</v>
      </c>
      <c r="B107" s="253" t="s">
        <v>155</v>
      </c>
      <c r="C107" s="134">
        <v>1.25</v>
      </c>
      <c r="D107" s="253">
        <f>E107+F107+G107+I107+K107</f>
        <v>26040</v>
      </c>
      <c r="E107" s="134">
        <v>4650</v>
      </c>
      <c r="F107" s="253">
        <f>ROUND((E107*0.2),2)</f>
        <v>930</v>
      </c>
      <c r="G107" s="253">
        <f>E107*2.3</f>
        <v>10695</v>
      </c>
      <c r="H107" s="253">
        <v>30</v>
      </c>
      <c r="I107" s="253">
        <f>(E107+F107+G107)*H107/100</f>
        <v>4882.5</v>
      </c>
      <c r="J107" s="253">
        <v>30</v>
      </c>
      <c r="K107" s="253">
        <f>(E107+F107+G107)*J107/100</f>
        <v>4882.5</v>
      </c>
      <c r="L107" s="253">
        <f>C107*D107*12-21106</f>
        <v>369494</v>
      </c>
      <c r="M107" s="89"/>
      <c r="N107" s="85"/>
      <c r="O107" s="11"/>
      <c r="P107" s="11"/>
      <c r="Q107" s="11"/>
      <c r="R107" s="11"/>
      <c r="S107" s="11"/>
      <c r="T107" s="11"/>
      <c r="U107" s="11"/>
      <c r="V107" s="11"/>
      <c r="W107" s="11"/>
    </row>
    <row r="108" spans="1:23" s="1" customFormat="1" ht="14.25" customHeight="1" x14ac:dyDescent="0.25">
      <c r="A108" s="19" t="s">
        <v>153</v>
      </c>
      <c r="B108" s="253" t="s">
        <v>156</v>
      </c>
      <c r="C108" s="134">
        <v>0.25</v>
      </c>
      <c r="D108" s="253">
        <f>E108+F108+G108+I108+K108</f>
        <v>26233.440000000002</v>
      </c>
      <c r="E108" s="134">
        <v>3813</v>
      </c>
      <c r="F108" s="253">
        <f>ROUND((E108*0.2),2)</f>
        <v>762.6</v>
      </c>
      <c r="G108" s="253">
        <f>E108*3.1</f>
        <v>11820.300000000001</v>
      </c>
      <c r="H108" s="253">
        <v>30</v>
      </c>
      <c r="I108" s="253">
        <f>(E108+F108+G108)*H108/100</f>
        <v>4918.7700000000004</v>
      </c>
      <c r="J108" s="253">
        <v>30</v>
      </c>
      <c r="K108" s="253">
        <f>(E108+F108+G108)*J108/100</f>
        <v>4918.7700000000004</v>
      </c>
      <c r="L108" s="253">
        <f>C108*D108*12</f>
        <v>78700.320000000007</v>
      </c>
      <c r="M108" s="89"/>
      <c r="N108" s="85"/>
      <c r="O108" s="11"/>
      <c r="P108" s="11"/>
      <c r="Q108" s="11"/>
      <c r="R108" s="11"/>
      <c r="S108" s="11"/>
      <c r="T108" s="11"/>
      <c r="U108" s="11"/>
      <c r="V108" s="11"/>
      <c r="W108" s="11"/>
    </row>
    <row r="109" spans="1:23" s="1" customFormat="1" x14ac:dyDescent="0.25">
      <c r="A109" s="19" t="s">
        <v>556</v>
      </c>
      <c r="B109" s="253" t="s">
        <v>157</v>
      </c>
      <c r="C109" s="134">
        <v>0.5</v>
      </c>
      <c r="D109" s="253">
        <f t="shared" ref="D109:D130" si="26">E109+F109+G109+I109+K109</f>
        <v>30447.199999999997</v>
      </c>
      <c r="E109" s="134">
        <v>10874</v>
      </c>
      <c r="F109" s="253">
        <f t="shared" ref="F109:F130" si="27">ROUND((E109*0.2),2)</f>
        <v>2174.8000000000002</v>
      </c>
      <c r="G109" s="253">
        <f>E109*0.55</f>
        <v>5980.7000000000007</v>
      </c>
      <c r="H109" s="253">
        <v>30</v>
      </c>
      <c r="I109" s="253">
        <f t="shared" ref="I109:I130" si="28">(E109+F109+G109)*H109/100</f>
        <v>5708.85</v>
      </c>
      <c r="J109" s="253">
        <v>30</v>
      </c>
      <c r="K109" s="253">
        <f t="shared" ref="K109:K130" si="29">(E109+F109+G109)*J109/100</f>
        <v>5708.85</v>
      </c>
      <c r="L109" s="253">
        <f t="shared" ref="L109" si="30">C109*D109*12</f>
        <v>182683.19999999998</v>
      </c>
      <c r="M109" s="89"/>
      <c r="N109" s="85"/>
      <c r="O109" s="11"/>
      <c r="P109" s="11"/>
      <c r="Q109" s="11"/>
      <c r="R109" s="11"/>
      <c r="S109" s="11"/>
      <c r="T109" s="11"/>
      <c r="U109" s="11"/>
      <c r="V109" s="11"/>
      <c r="W109" s="11"/>
    </row>
    <row r="110" spans="1:23" s="1" customFormat="1" ht="14.25" customHeight="1" x14ac:dyDescent="0.25">
      <c r="A110" s="19" t="s">
        <v>559</v>
      </c>
      <c r="B110" s="253" t="s">
        <v>158</v>
      </c>
      <c r="C110" s="134">
        <v>1</v>
      </c>
      <c r="D110" s="253">
        <f t="shared" si="26"/>
        <v>29652.217643199998</v>
      </c>
      <c r="E110" s="134">
        <v>14197</v>
      </c>
      <c r="F110" s="253">
        <f t="shared" si="27"/>
        <v>2839.4</v>
      </c>
      <c r="G110" s="253">
        <f>E110*0.105391</f>
        <v>1496.2360269999999</v>
      </c>
      <c r="H110" s="253">
        <v>30</v>
      </c>
      <c r="I110" s="253">
        <f t="shared" si="28"/>
        <v>5559.7908080999996</v>
      </c>
      <c r="J110" s="253">
        <v>30</v>
      </c>
      <c r="K110" s="253">
        <f t="shared" si="29"/>
        <v>5559.7908080999996</v>
      </c>
      <c r="L110" s="253">
        <f>C110*D110*12-31911</f>
        <v>323915.61171839997</v>
      </c>
      <c r="M110" s="89"/>
      <c r="N110" s="85"/>
      <c r="O110" s="11"/>
      <c r="P110" s="11"/>
      <c r="Q110" s="11"/>
      <c r="R110" s="11"/>
      <c r="S110" s="11"/>
      <c r="T110" s="11"/>
      <c r="U110" s="11"/>
      <c r="V110" s="11"/>
      <c r="W110" s="11"/>
    </row>
    <row r="111" spans="1:23" s="1" customFormat="1" ht="25.5" x14ac:dyDescent="0.25">
      <c r="A111" s="19" t="s">
        <v>560</v>
      </c>
      <c r="B111" s="253" t="s">
        <v>159</v>
      </c>
      <c r="C111" s="134">
        <v>0.75</v>
      </c>
      <c r="D111" s="253">
        <f t="shared" si="26"/>
        <v>29529.760000000006</v>
      </c>
      <c r="E111" s="134">
        <v>14197</v>
      </c>
      <c r="F111" s="253">
        <f t="shared" si="27"/>
        <v>2839.4</v>
      </c>
      <c r="G111" s="253">
        <f>E111*0.1</f>
        <v>1419.7</v>
      </c>
      <c r="H111" s="253">
        <v>30</v>
      </c>
      <c r="I111" s="253">
        <f t="shared" si="28"/>
        <v>5536.8300000000008</v>
      </c>
      <c r="J111" s="253">
        <v>30</v>
      </c>
      <c r="K111" s="253">
        <f t="shared" si="29"/>
        <v>5536.8300000000008</v>
      </c>
      <c r="L111" s="253">
        <f>C111*D111*12-31828</f>
        <v>233939.84000000003</v>
      </c>
      <c r="M111" s="89"/>
      <c r="N111" s="85"/>
      <c r="O111" s="11"/>
      <c r="P111" s="11"/>
      <c r="Q111" s="11"/>
      <c r="R111" s="11"/>
      <c r="S111" s="11"/>
      <c r="T111" s="11"/>
      <c r="U111" s="11"/>
      <c r="V111" s="11"/>
      <c r="W111" s="11"/>
    </row>
    <row r="112" spans="1:23" s="1" customFormat="1" ht="25.5" x14ac:dyDescent="0.25">
      <c r="A112" s="19" t="s">
        <v>561</v>
      </c>
      <c r="B112" s="253" t="s">
        <v>160</v>
      </c>
      <c r="C112" s="134">
        <v>0.5</v>
      </c>
      <c r="D112" s="253">
        <f t="shared" si="26"/>
        <v>29529.760000000006</v>
      </c>
      <c r="E112" s="134">
        <v>14197</v>
      </c>
      <c r="F112" s="253">
        <f t="shared" si="27"/>
        <v>2839.4</v>
      </c>
      <c r="G112" s="253">
        <f>E112*0.1</f>
        <v>1419.7</v>
      </c>
      <c r="H112" s="253">
        <v>30</v>
      </c>
      <c r="I112" s="253">
        <f t="shared" si="28"/>
        <v>5536.8300000000008</v>
      </c>
      <c r="J112" s="253">
        <v>30</v>
      </c>
      <c r="K112" s="253">
        <f t="shared" si="29"/>
        <v>5536.8300000000008</v>
      </c>
      <c r="L112" s="253">
        <f t="shared" ref="L112:L113" si="31">C112*D112*12</f>
        <v>177178.56000000003</v>
      </c>
      <c r="M112" s="89"/>
      <c r="N112" s="85"/>
      <c r="O112" s="11"/>
      <c r="P112" s="11"/>
      <c r="Q112" s="11"/>
      <c r="R112" s="11"/>
      <c r="S112" s="11"/>
      <c r="T112" s="11"/>
      <c r="U112" s="11"/>
      <c r="V112" s="11"/>
      <c r="W112" s="11"/>
    </row>
    <row r="113" spans="1:23" s="1" customFormat="1" x14ac:dyDescent="0.25">
      <c r="A113" s="19" t="s">
        <v>600</v>
      </c>
      <c r="B113" s="253" t="s">
        <v>161</v>
      </c>
      <c r="C113" s="134">
        <v>1</v>
      </c>
      <c r="D113" s="253">
        <f t="shared" si="26"/>
        <v>26097.599999999999</v>
      </c>
      <c r="E113" s="134">
        <v>10874</v>
      </c>
      <c r="F113" s="253">
        <f t="shared" si="27"/>
        <v>2174.8000000000002</v>
      </c>
      <c r="G113" s="253">
        <f>E113*0.3</f>
        <v>3262.2</v>
      </c>
      <c r="H113" s="253">
        <v>30</v>
      </c>
      <c r="I113" s="253">
        <f t="shared" si="28"/>
        <v>4893.3</v>
      </c>
      <c r="J113" s="253">
        <v>30</v>
      </c>
      <c r="K113" s="253">
        <f t="shared" si="29"/>
        <v>4893.3</v>
      </c>
      <c r="L113" s="253">
        <f t="shared" si="31"/>
        <v>313171.19999999995</v>
      </c>
      <c r="M113" s="89"/>
      <c r="N113" s="85"/>
      <c r="O113" s="11"/>
      <c r="P113" s="11"/>
      <c r="Q113" s="11"/>
      <c r="R113" s="11"/>
      <c r="S113" s="11"/>
      <c r="T113" s="11"/>
      <c r="U113" s="11"/>
      <c r="V113" s="11"/>
      <c r="W113" s="11"/>
    </row>
    <row r="114" spans="1:23" s="1" customFormat="1" x14ac:dyDescent="0.25">
      <c r="A114" s="19" t="s">
        <v>562</v>
      </c>
      <c r="B114" s="253" t="s">
        <v>162</v>
      </c>
      <c r="C114" s="134">
        <v>0.75</v>
      </c>
      <c r="D114" s="253">
        <f t="shared" si="26"/>
        <v>26097.599999999999</v>
      </c>
      <c r="E114" s="134">
        <v>10874</v>
      </c>
      <c r="F114" s="253">
        <f t="shared" si="27"/>
        <v>2174.8000000000002</v>
      </c>
      <c r="G114" s="253">
        <f>E114*0.3</f>
        <v>3262.2</v>
      </c>
      <c r="H114" s="253">
        <v>30</v>
      </c>
      <c r="I114" s="253">
        <f t="shared" si="28"/>
        <v>4893.3</v>
      </c>
      <c r="J114" s="253">
        <v>30</v>
      </c>
      <c r="K114" s="253">
        <f t="shared" si="29"/>
        <v>4893.3</v>
      </c>
      <c r="L114" s="253">
        <f>C114*D114*12-35496</f>
        <v>199382.39999999997</v>
      </c>
      <c r="M114" s="89"/>
      <c r="N114" s="85"/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1:23" s="1" customFormat="1" x14ac:dyDescent="0.25">
      <c r="A115" s="19" t="s">
        <v>563</v>
      </c>
      <c r="B115" s="253" t="s">
        <v>163</v>
      </c>
      <c r="C115" s="134">
        <v>1</v>
      </c>
      <c r="D115" s="253">
        <f t="shared" si="26"/>
        <v>26097.599999999999</v>
      </c>
      <c r="E115" s="134">
        <v>10874</v>
      </c>
      <c r="F115" s="253">
        <f t="shared" si="27"/>
        <v>2174.8000000000002</v>
      </c>
      <c r="G115" s="253">
        <f>E115*0.3</f>
        <v>3262.2</v>
      </c>
      <c r="H115" s="253">
        <v>30</v>
      </c>
      <c r="I115" s="253">
        <f t="shared" si="28"/>
        <v>4893.3</v>
      </c>
      <c r="J115" s="253">
        <v>30</v>
      </c>
      <c r="K115" s="253">
        <f t="shared" si="29"/>
        <v>4893.3</v>
      </c>
      <c r="L115" s="253">
        <f>C115*D115*12-42212</f>
        <v>270959.19999999995</v>
      </c>
      <c r="M115" s="89"/>
      <c r="N115" s="85"/>
      <c r="O115" s="11"/>
      <c r="P115" s="11"/>
      <c r="Q115" s="11"/>
      <c r="R115" s="11"/>
      <c r="S115" s="11"/>
      <c r="T115" s="11"/>
      <c r="U115" s="11"/>
      <c r="V115" s="11"/>
      <c r="W115" s="11"/>
    </row>
    <row r="116" spans="1:23" s="1" customFormat="1" x14ac:dyDescent="0.25">
      <c r="A116" s="19" t="s">
        <v>601</v>
      </c>
      <c r="B116" s="253" t="s">
        <v>164</v>
      </c>
      <c r="C116" s="134">
        <v>1</v>
      </c>
      <c r="D116" s="253">
        <f t="shared" si="26"/>
        <v>27105.119999999999</v>
      </c>
      <c r="E116" s="134">
        <v>8067</v>
      </c>
      <c r="F116" s="253">
        <f t="shared" si="27"/>
        <v>1613.4</v>
      </c>
      <c r="G116" s="253">
        <f>E116*0.9</f>
        <v>7260.3</v>
      </c>
      <c r="H116" s="253">
        <v>30</v>
      </c>
      <c r="I116" s="253">
        <f t="shared" si="28"/>
        <v>5082.21</v>
      </c>
      <c r="J116" s="253">
        <v>30</v>
      </c>
      <c r="K116" s="253">
        <f t="shared" si="29"/>
        <v>5082.21</v>
      </c>
      <c r="L116" s="253">
        <f>C116*D116*12-21106</f>
        <v>304155.44</v>
      </c>
      <c r="M116" s="89"/>
      <c r="N116" s="85"/>
      <c r="O116" s="11"/>
      <c r="P116" s="11"/>
      <c r="Q116" s="11"/>
      <c r="R116" s="11"/>
      <c r="S116" s="11"/>
      <c r="T116" s="11"/>
      <c r="U116" s="11"/>
      <c r="V116" s="11"/>
      <c r="W116" s="11"/>
    </row>
    <row r="117" spans="1:23" s="1" customFormat="1" x14ac:dyDescent="0.25">
      <c r="A117" s="19" t="s">
        <v>564</v>
      </c>
      <c r="B117" s="253" t="s">
        <v>165</v>
      </c>
      <c r="C117" s="134">
        <v>0.75</v>
      </c>
      <c r="D117" s="253">
        <f t="shared" si="26"/>
        <v>27105.119999999999</v>
      </c>
      <c r="E117" s="134">
        <v>8067</v>
      </c>
      <c r="F117" s="253">
        <f t="shared" si="27"/>
        <v>1613.4</v>
      </c>
      <c r="G117" s="253">
        <f>E117*0.9</f>
        <v>7260.3</v>
      </c>
      <c r="H117" s="253">
        <v>30</v>
      </c>
      <c r="I117" s="253">
        <f t="shared" si="28"/>
        <v>5082.21</v>
      </c>
      <c r="J117" s="253">
        <v>30</v>
      </c>
      <c r="K117" s="253">
        <f t="shared" si="29"/>
        <v>5082.21</v>
      </c>
      <c r="L117" s="253">
        <f>C117*D117*12-26700</f>
        <v>217246.08000000002</v>
      </c>
      <c r="M117" s="89"/>
      <c r="N117" s="85"/>
      <c r="O117" s="11"/>
      <c r="P117" s="11"/>
      <c r="Q117" s="11"/>
      <c r="R117" s="11"/>
      <c r="S117" s="11"/>
      <c r="T117" s="11"/>
      <c r="U117" s="11"/>
      <c r="V117" s="11"/>
      <c r="W117" s="11"/>
    </row>
    <row r="118" spans="1:23" s="1" customFormat="1" ht="25.5" x14ac:dyDescent="0.25">
      <c r="A118" s="19" t="s">
        <v>565</v>
      </c>
      <c r="B118" s="253" t="s">
        <v>166</v>
      </c>
      <c r="C118" s="134">
        <v>5</v>
      </c>
      <c r="D118" s="253">
        <f t="shared" si="26"/>
        <v>29577.279999999999</v>
      </c>
      <c r="E118" s="134">
        <v>10874</v>
      </c>
      <c r="F118" s="253">
        <f t="shared" si="27"/>
        <v>2174.8000000000002</v>
      </c>
      <c r="G118" s="253">
        <f>E118*0.5</f>
        <v>5437</v>
      </c>
      <c r="H118" s="253">
        <v>30</v>
      </c>
      <c r="I118" s="253">
        <f t="shared" si="28"/>
        <v>5545.74</v>
      </c>
      <c r="J118" s="253">
        <v>30</v>
      </c>
      <c r="K118" s="253">
        <f t="shared" si="29"/>
        <v>5545.74</v>
      </c>
      <c r="L118" s="253">
        <f>C118*D118*12-29112</f>
        <v>1745524.7999999998</v>
      </c>
      <c r="M118" s="89"/>
      <c r="N118" s="85"/>
      <c r="O118" s="11"/>
      <c r="P118" s="11"/>
      <c r="Q118" s="11"/>
      <c r="R118" s="11"/>
      <c r="S118" s="11"/>
      <c r="T118" s="11"/>
      <c r="U118" s="11"/>
      <c r="V118" s="11"/>
      <c r="W118" s="11"/>
    </row>
    <row r="119" spans="1:23" s="1" customFormat="1" ht="14.25" customHeight="1" x14ac:dyDescent="0.25">
      <c r="A119" s="19" t="s">
        <v>566</v>
      </c>
      <c r="B119" s="253" t="s">
        <v>167</v>
      </c>
      <c r="C119" s="134">
        <v>5</v>
      </c>
      <c r="D119" s="253">
        <f t="shared" si="26"/>
        <v>33056.959999999999</v>
      </c>
      <c r="E119" s="134">
        <v>10874</v>
      </c>
      <c r="F119" s="253">
        <f t="shared" si="27"/>
        <v>2174.8000000000002</v>
      </c>
      <c r="G119" s="253">
        <f>E119*0.7</f>
        <v>7611.7999999999993</v>
      </c>
      <c r="H119" s="253">
        <v>30</v>
      </c>
      <c r="I119" s="253">
        <f t="shared" si="28"/>
        <v>6198.18</v>
      </c>
      <c r="J119" s="253">
        <v>30</v>
      </c>
      <c r="K119" s="253">
        <f t="shared" si="29"/>
        <v>6198.18</v>
      </c>
      <c r="L119" s="253">
        <f>C119*D119*12-300728</f>
        <v>1682689.5999999999</v>
      </c>
      <c r="M119" s="89"/>
      <c r="N119" s="85"/>
      <c r="O119" s="11"/>
      <c r="P119" s="11"/>
      <c r="Q119" s="11"/>
      <c r="R119" s="11"/>
      <c r="S119" s="11"/>
      <c r="T119" s="11"/>
      <c r="U119" s="11"/>
      <c r="V119" s="11"/>
      <c r="W119" s="11"/>
    </row>
    <row r="120" spans="1:23" s="1" customFormat="1" ht="25.5" x14ac:dyDescent="0.25">
      <c r="A120" s="19" t="s">
        <v>567</v>
      </c>
      <c r="B120" s="253" t="s">
        <v>168</v>
      </c>
      <c r="C120" s="134">
        <v>2</v>
      </c>
      <c r="D120" s="253">
        <f t="shared" si="26"/>
        <v>26553.599999999999</v>
      </c>
      <c r="E120" s="134">
        <v>5532</v>
      </c>
      <c r="F120" s="253">
        <f t="shared" si="27"/>
        <v>1106.4000000000001</v>
      </c>
      <c r="G120" s="253">
        <f>E120*1.8</f>
        <v>9957.6</v>
      </c>
      <c r="H120" s="253">
        <v>30</v>
      </c>
      <c r="I120" s="253">
        <f t="shared" si="28"/>
        <v>4978.8</v>
      </c>
      <c r="J120" s="253">
        <v>30</v>
      </c>
      <c r="K120" s="253">
        <f t="shared" si="29"/>
        <v>4978.8</v>
      </c>
      <c r="L120" s="253">
        <f>C120*D120*12-29597</f>
        <v>607689.39999999991</v>
      </c>
      <c r="M120" s="89"/>
      <c r="N120" s="85"/>
      <c r="O120" s="11"/>
      <c r="P120" s="11"/>
      <c r="Q120" s="11"/>
      <c r="R120" s="11"/>
      <c r="S120" s="11"/>
      <c r="T120" s="11"/>
      <c r="U120" s="11"/>
      <c r="V120" s="11"/>
      <c r="W120" s="11"/>
    </row>
    <row r="121" spans="1:23" s="1" customFormat="1" ht="25.5" x14ac:dyDescent="0.25">
      <c r="A121" s="19" t="s">
        <v>568</v>
      </c>
      <c r="B121" s="253" t="s">
        <v>169</v>
      </c>
      <c r="C121" s="134">
        <v>1</v>
      </c>
      <c r="D121" s="253">
        <f t="shared" si="26"/>
        <v>29577.279999999999</v>
      </c>
      <c r="E121" s="134">
        <v>10874</v>
      </c>
      <c r="F121" s="253">
        <f t="shared" si="27"/>
        <v>2174.8000000000002</v>
      </c>
      <c r="G121" s="253">
        <f>E121*0.5</f>
        <v>5437</v>
      </c>
      <c r="H121" s="253">
        <v>30</v>
      </c>
      <c r="I121" s="253">
        <f t="shared" si="28"/>
        <v>5545.74</v>
      </c>
      <c r="J121" s="253">
        <v>30</v>
      </c>
      <c r="K121" s="253">
        <f t="shared" si="29"/>
        <v>5545.74</v>
      </c>
      <c r="L121" s="253">
        <f t="shared" ref="L121" si="32">C121*D121*12</f>
        <v>354927.35999999999</v>
      </c>
      <c r="M121" s="89"/>
      <c r="N121" s="85"/>
      <c r="O121" s="11"/>
      <c r="P121" s="11"/>
      <c r="Q121" s="11"/>
      <c r="R121" s="11"/>
      <c r="S121" s="11"/>
      <c r="T121" s="11"/>
      <c r="U121" s="11"/>
      <c r="V121" s="11"/>
      <c r="W121" s="11"/>
    </row>
    <row r="122" spans="1:23" s="1" customFormat="1" x14ac:dyDescent="0.25">
      <c r="A122" s="19" t="s">
        <v>569</v>
      </c>
      <c r="B122" s="253" t="s">
        <v>170</v>
      </c>
      <c r="C122" s="134">
        <v>1</v>
      </c>
      <c r="D122" s="253">
        <f t="shared" si="26"/>
        <v>29577.279999999999</v>
      </c>
      <c r="E122" s="134">
        <v>10874</v>
      </c>
      <c r="F122" s="253">
        <f t="shared" si="27"/>
        <v>2174.8000000000002</v>
      </c>
      <c r="G122" s="253">
        <f t="shared" ref="G122:G126" si="33">E122*0.5</f>
        <v>5437</v>
      </c>
      <c r="H122" s="253">
        <v>30</v>
      </c>
      <c r="I122" s="253">
        <f t="shared" si="28"/>
        <v>5545.74</v>
      </c>
      <c r="J122" s="253">
        <v>30</v>
      </c>
      <c r="K122" s="253">
        <f t="shared" si="29"/>
        <v>5545.74</v>
      </c>
      <c r="L122" s="253">
        <f>C122*D122*12-29801</f>
        <v>325126.36</v>
      </c>
      <c r="M122" s="89"/>
      <c r="N122" s="85"/>
      <c r="O122" s="11"/>
      <c r="P122" s="11"/>
      <c r="Q122" s="11"/>
      <c r="R122" s="11"/>
      <c r="S122" s="11"/>
      <c r="T122" s="11"/>
      <c r="U122" s="11"/>
      <c r="V122" s="11"/>
      <c r="W122" s="11"/>
    </row>
    <row r="123" spans="1:23" s="1" customFormat="1" x14ac:dyDescent="0.25">
      <c r="A123" s="19" t="s">
        <v>570</v>
      </c>
      <c r="B123" s="253" t="s">
        <v>171</v>
      </c>
      <c r="C123" s="134">
        <v>1</v>
      </c>
      <c r="D123" s="253">
        <f t="shared" si="26"/>
        <v>29577.279999999999</v>
      </c>
      <c r="E123" s="134">
        <v>10874</v>
      </c>
      <c r="F123" s="253">
        <f t="shared" si="27"/>
        <v>2174.8000000000002</v>
      </c>
      <c r="G123" s="253">
        <f t="shared" si="33"/>
        <v>5437</v>
      </c>
      <c r="H123" s="253">
        <v>30</v>
      </c>
      <c r="I123" s="253">
        <f t="shared" si="28"/>
        <v>5545.74</v>
      </c>
      <c r="J123" s="253">
        <v>30</v>
      </c>
      <c r="K123" s="253">
        <f t="shared" si="29"/>
        <v>5545.74</v>
      </c>
      <c r="L123" s="253">
        <f>C123*D123*12-28846</f>
        <v>326081.36</v>
      </c>
      <c r="M123" s="89"/>
      <c r="N123" s="85"/>
      <c r="O123" s="11"/>
      <c r="P123" s="11"/>
      <c r="Q123" s="11"/>
      <c r="R123" s="11"/>
      <c r="S123" s="11"/>
      <c r="T123" s="11"/>
      <c r="U123" s="11"/>
      <c r="V123" s="11"/>
      <c r="W123" s="11"/>
    </row>
    <row r="124" spans="1:23" s="1" customFormat="1" x14ac:dyDescent="0.25">
      <c r="A124" s="19" t="s">
        <v>571</v>
      </c>
      <c r="B124" s="253" t="s">
        <v>172</v>
      </c>
      <c r="C124" s="134">
        <v>0.5</v>
      </c>
      <c r="D124" s="253">
        <f t="shared" si="26"/>
        <v>29577.279999999999</v>
      </c>
      <c r="E124" s="134">
        <v>10874</v>
      </c>
      <c r="F124" s="253">
        <f t="shared" si="27"/>
        <v>2174.8000000000002</v>
      </c>
      <c r="G124" s="253">
        <f t="shared" si="33"/>
        <v>5437</v>
      </c>
      <c r="H124" s="253">
        <v>30</v>
      </c>
      <c r="I124" s="253">
        <f t="shared" si="28"/>
        <v>5545.74</v>
      </c>
      <c r="J124" s="253">
        <v>30</v>
      </c>
      <c r="K124" s="253">
        <f t="shared" si="29"/>
        <v>5545.74</v>
      </c>
      <c r="L124" s="253">
        <f>C124*D124*12-29714</f>
        <v>147749.68</v>
      </c>
      <c r="M124" s="89"/>
      <c r="N124" s="85"/>
      <c r="O124" s="11"/>
      <c r="P124" s="11"/>
      <c r="Q124" s="11"/>
      <c r="R124" s="11"/>
      <c r="S124" s="11"/>
      <c r="T124" s="11"/>
      <c r="U124" s="11"/>
      <c r="V124" s="11"/>
      <c r="W124" s="11"/>
    </row>
    <row r="125" spans="1:23" s="1" customFormat="1" x14ac:dyDescent="0.25">
      <c r="A125" s="19" t="s">
        <v>572</v>
      </c>
      <c r="B125" s="253" t="s">
        <v>173</v>
      </c>
      <c r="C125" s="134">
        <v>1</v>
      </c>
      <c r="D125" s="253">
        <f t="shared" si="26"/>
        <v>29577.279999999999</v>
      </c>
      <c r="E125" s="134">
        <v>10874</v>
      </c>
      <c r="F125" s="253">
        <f t="shared" si="27"/>
        <v>2174.8000000000002</v>
      </c>
      <c r="G125" s="253">
        <f t="shared" si="33"/>
        <v>5437</v>
      </c>
      <c r="H125" s="253">
        <v>30</v>
      </c>
      <c r="I125" s="253">
        <f t="shared" si="28"/>
        <v>5545.74</v>
      </c>
      <c r="J125" s="253">
        <v>30</v>
      </c>
      <c r="K125" s="253">
        <f t="shared" si="29"/>
        <v>5545.74</v>
      </c>
      <c r="L125" s="253">
        <f t="shared" ref="L125" si="34">C125*D125*12</f>
        <v>354927.35999999999</v>
      </c>
      <c r="M125" s="89"/>
      <c r="N125" s="85"/>
      <c r="O125" s="11"/>
      <c r="P125" s="11"/>
      <c r="Q125" s="11"/>
      <c r="R125" s="11"/>
      <c r="S125" s="11"/>
      <c r="T125" s="11"/>
      <c r="U125" s="11"/>
      <c r="V125" s="11"/>
      <c r="W125" s="11"/>
    </row>
    <row r="126" spans="1:23" s="1" customFormat="1" x14ac:dyDescent="0.25">
      <c r="A126" s="19" t="s">
        <v>573</v>
      </c>
      <c r="B126" s="253" t="s">
        <v>174</v>
      </c>
      <c r="C126" s="134">
        <v>1</v>
      </c>
      <c r="D126" s="253">
        <f t="shared" si="26"/>
        <v>29577.279999999999</v>
      </c>
      <c r="E126" s="134">
        <v>10874</v>
      </c>
      <c r="F126" s="253">
        <f t="shared" si="27"/>
        <v>2174.8000000000002</v>
      </c>
      <c r="G126" s="253">
        <f t="shared" si="33"/>
        <v>5437</v>
      </c>
      <c r="H126" s="253">
        <v>30</v>
      </c>
      <c r="I126" s="253">
        <f t="shared" si="28"/>
        <v>5545.74</v>
      </c>
      <c r="J126" s="253">
        <v>30</v>
      </c>
      <c r="K126" s="253">
        <f t="shared" si="29"/>
        <v>5545.74</v>
      </c>
      <c r="L126" s="253">
        <f>C126*D126*12-28842</f>
        <v>326085.36</v>
      </c>
      <c r="M126" s="89"/>
      <c r="N126" s="85"/>
      <c r="O126" s="11"/>
      <c r="P126" s="11"/>
      <c r="Q126" s="11"/>
      <c r="R126" s="11"/>
      <c r="S126" s="11"/>
      <c r="T126" s="11"/>
      <c r="U126" s="11"/>
      <c r="V126" s="11"/>
      <c r="W126" s="11"/>
    </row>
    <row r="127" spans="1:23" s="1" customFormat="1" x14ac:dyDescent="0.25">
      <c r="A127" s="19" t="s">
        <v>574</v>
      </c>
      <c r="B127" s="253" t="s">
        <v>175</v>
      </c>
      <c r="C127" s="134">
        <v>1</v>
      </c>
      <c r="D127" s="253">
        <f t="shared" si="26"/>
        <v>29529.760000000006</v>
      </c>
      <c r="E127" s="134">
        <v>14197</v>
      </c>
      <c r="F127" s="253">
        <f t="shared" si="27"/>
        <v>2839.4</v>
      </c>
      <c r="G127" s="253">
        <f>E127*0.1</f>
        <v>1419.7</v>
      </c>
      <c r="H127" s="253">
        <v>30</v>
      </c>
      <c r="I127" s="253">
        <f t="shared" si="28"/>
        <v>5536.8300000000008</v>
      </c>
      <c r="J127" s="253">
        <v>30</v>
      </c>
      <c r="K127" s="253">
        <f t="shared" si="29"/>
        <v>5536.8300000000008</v>
      </c>
      <c r="L127" s="253">
        <f>C127*D127*12-38897</f>
        <v>315460.12000000005</v>
      </c>
      <c r="M127" s="89"/>
      <c r="N127" s="85"/>
      <c r="O127" s="11"/>
      <c r="P127" s="11"/>
      <c r="Q127" s="11"/>
      <c r="R127" s="11"/>
      <c r="S127" s="11"/>
      <c r="T127" s="11"/>
      <c r="U127" s="11"/>
      <c r="V127" s="11"/>
      <c r="W127" s="11"/>
    </row>
    <row r="128" spans="1:23" s="1" customFormat="1" x14ac:dyDescent="0.25">
      <c r="A128" s="19" t="s">
        <v>575</v>
      </c>
      <c r="B128" s="253" t="s">
        <v>176</v>
      </c>
      <c r="C128" s="134">
        <v>0.25</v>
      </c>
      <c r="D128" s="253">
        <f t="shared" si="26"/>
        <v>26067.52</v>
      </c>
      <c r="E128" s="134">
        <v>5618</v>
      </c>
      <c r="F128" s="253">
        <f t="shared" si="27"/>
        <v>1123.5999999999999</v>
      </c>
      <c r="G128" s="253">
        <f>E128*1.7</f>
        <v>9550.6</v>
      </c>
      <c r="H128" s="253">
        <v>30</v>
      </c>
      <c r="I128" s="253">
        <f t="shared" si="28"/>
        <v>4887.66</v>
      </c>
      <c r="J128" s="253">
        <v>30</v>
      </c>
      <c r="K128" s="253">
        <f t="shared" si="29"/>
        <v>4887.66</v>
      </c>
      <c r="L128" s="253">
        <f>C128*D128*12-21106</f>
        <v>57096.56</v>
      </c>
      <c r="M128" s="89"/>
      <c r="N128" s="85"/>
      <c r="O128" s="11"/>
      <c r="P128" s="11"/>
      <c r="Q128" s="11"/>
      <c r="R128" s="11"/>
      <c r="S128" s="11"/>
      <c r="T128" s="11"/>
      <c r="U128" s="11"/>
      <c r="V128" s="11"/>
      <c r="W128" s="11"/>
    </row>
    <row r="129" spans="1:23" s="1" customFormat="1" ht="15" customHeight="1" x14ac:dyDescent="0.25">
      <c r="A129" s="19" t="s">
        <v>576</v>
      </c>
      <c r="B129" s="253" t="s">
        <v>177</v>
      </c>
      <c r="C129" s="134">
        <v>0.25</v>
      </c>
      <c r="D129" s="253">
        <f t="shared" si="26"/>
        <v>26067.52</v>
      </c>
      <c r="E129" s="134">
        <v>5618</v>
      </c>
      <c r="F129" s="253">
        <f t="shared" si="27"/>
        <v>1123.5999999999999</v>
      </c>
      <c r="G129" s="253">
        <f>E129*1.7</f>
        <v>9550.6</v>
      </c>
      <c r="H129" s="253">
        <v>30</v>
      </c>
      <c r="I129" s="253">
        <f t="shared" si="28"/>
        <v>4887.66</v>
      </c>
      <c r="J129" s="253">
        <v>30</v>
      </c>
      <c r="K129" s="253">
        <f t="shared" si="29"/>
        <v>4887.66</v>
      </c>
      <c r="L129" s="253">
        <f>C129*D129*12-26325</f>
        <v>51877.56</v>
      </c>
      <c r="M129" s="89"/>
      <c r="N129" s="85"/>
      <c r="O129" s="11"/>
      <c r="P129" s="11"/>
      <c r="Q129" s="11"/>
      <c r="R129" s="11"/>
      <c r="S129" s="11"/>
      <c r="T129" s="11"/>
      <c r="U129" s="11"/>
      <c r="V129" s="11"/>
      <c r="W129" s="11"/>
    </row>
    <row r="130" spans="1:23" s="1" customFormat="1" ht="15" customHeight="1" x14ac:dyDescent="0.25">
      <c r="A130" s="19" t="s">
        <v>577</v>
      </c>
      <c r="B130" s="253" t="s">
        <v>178</v>
      </c>
      <c r="C130" s="134">
        <v>1</v>
      </c>
      <c r="D130" s="253">
        <f t="shared" si="26"/>
        <v>26067.52</v>
      </c>
      <c r="E130" s="134">
        <v>5618</v>
      </c>
      <c r="F130" s="253">
        <f t="shared" si="27"/>
        <v>1123.5999999999999</v>
      </c>
      <c r="G130" s="253">
        <f>E130*1.7</f>
        <v>9550.6</v>
      </c>
      <c r="H130" s="253">
        <v>30</v>
      </c>
      <c r="I130" s="253">
        <f t="shared" si="28"/>
        <v>4887.66</v>
      </c>
      <c r="J130" s="253">
        <v>30</v>
      </c>
      <c r="K130" s="253">
        <f t="shared" si="29"/>
        <v>4887.66</v>
      </c>
      <c r="L130" s="253">
        <f>C130*D130*12-33125</f>
        <v>279685.24</v>
      </c>
      <c r="M130" s="89"/>
      <c r="N130" s="85"/>
      <c r="O130" s="11"/>
      <c r="P130" s="11"/>
      <c r="Q130" s="11"/>
      <c r="R130" s="11"/>
      <c r="S130" s="11"/>
      <c r="T130" s="11"/>
      <c r="U130" s="11"/>
      <c r="V130" s="11"/>
      <c r="W130" s="11"/>
    </row>
    <row r="131" spans="1:23" s="1" customFormat="1" ht="14.25" customHeight="1" x14ac:dyDescent="0.25">
      <c r="A131" s="228" t="s">
        <v>632</v>
      </c>
      <c r="B131" s="96"/>
      <c r="C131" s="323"/>
      <c r="D131" s="324"/>
      <c r="E131" s="324"/>
      <c r="F131" s="324"/>
      <c r="G131" s="324"/>
      <c r="H131" s="324"/>
      <c r="I131" s="324"/>
      <c r="J131" s="324"/>
      <c r="K131" s="325"/>
      <c r="L131" s="253">
        <f>SUM(L103:L130)</f>
        <v>11186961.99734468</v>
      </c>
      <c r="M131" s="89"/>
      <c r="N131" s="85"/>
      <c r="O131" s="11"/>
      <c r="P131" s="11"/>
      <c r="Q131" s="11"/>
      <c r="R131" s="11"/>
      <c r="S131" s="11"/>
      <c r="T131" s="11"/>
      <c r="U131" s="11"/>
      <c r="V131" s="11"/>
      <c r="W131" s="11"/>
    </row>
    <row r="132" spans="1:23" s="1" customFormat="1" ht="40.5" customHeight="1" x14ac:dyDescent="0.25">
      <c r="A132" s="229" t="s">
        <v>633</v>
      </c>
      <c r="B132" s="254"/>
      <c r="C132" s="323"/>
      <c r="D132" s="324"/>
      <c r="E132" s="324"/>
      <c r="F132" s="324"/>
      <c r="G132" s="324"/>
      <c r="H132" s="324"/>
      <c r="I132" s="324"/>
      <c r="J132" s="324"/>
      <c r="K132" s="325"/>
      <c r="L132" s="253">
        <v>80000</v>
      </c>
      <c r="M132" s="89"/>
      <c r="N132" s="85"/>
      <c r="O132" s="11"/>
      <c r="P132" s="11"/>
      <c r="Q132" s="11"/>
      <c r="R132" s="11"/>
      <c r="S132" s="11"/>
      <c r="T132" s="11"/>
      <c r="U132" s="11"/>
      <c r="V132" s="11"/>
      <c r="W132" s="11"/>
    </row>
    <row r="133" spans="1:23" s="1" customFormat="1" x14ac:dyDescent="0.25">
      <c r="A133" s="140" t="s">
        <v>427</v>
      </c>
      <c r="B133" s="139" t="s">
        <v>1</v>
      </c>
      <c r="C133" s="30">
        <f>SUM(C103:C132)</f>
        <v>31.5</v>
      </c>
      <c r="D133" s="139" t="s">
        <v>1</v>
      </c>
      <c r="E133" s="139" t="s">
        <v>1</v>
      </c>
      <c r="F133" s="139" t="s">
        <v>1</v>
      </c>
      <c r="G133" s="139" t="s">
        <v>1</v>
      </c>
      <c r="H133" s="139" t="s">
        <v>1</v>
      </c>
      <c r="I133" s="139" t="s">
        <v>1</v>
      </c>
      <c r="J133" s="139" t="s">
        <v>1</v>
      </c>
      <c r="K133" s="139" t="s">
        <v>1</v>
      </c>
      <c r="L133" s="30">
        <f>SUM(L131:L132)</f>
        <v>11266961.99734468</v>
      </c>
      <c r="M133" s="157"/>
      <c r="N133" s="85"/>
      <c r="O133" s="11"/>
      <c r="P133" s="11"/>
      <c r="Q133" s="11"/>
      <c r="R133" s="11"/>
      <c r="S133" s="11"/>
      <c r="T133" s="11"/>
      <c r="U133" s="11"/>
      <c r="V133" s="11"/>
      <c r="W133" s="11"/>
    </row>
    <row r="134" spans="1:23" s="1" customFormat="1" x14ac:dyDescent="0.25"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11"/>
      <c r="P134" s="11"/>
      <c r="Q134" s="11"/>
      <c r="R134" s="11"/>
      <c r="S134" s="11"/>
      <c r="T134" s="11"/>
      <c r="U134" s="11"/>
      <c r="V134" s="11"/>
      <c r="W134" s="11"/>
    </row>
    <row r="135" spans="1:23" s="1" customFormat="1" x14ac:dyDescent="0.25">
      <c r="A135" s="8" t="s">
        <v>395</v>
      </c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11"/>
      <c r="P135" s="11"/>
      <c r="Q135" s="11"/>
      <c r="R135" s="11"/>
      <c r="S135" s="11"/>
      <c r="T135" s="11"/>
      <c r="U135" s="11"/>
      <c r="V135" s="11"/>
      <c r="W135" s="11"/>
    </row>
    <row r="136" spans="1:23" s="1" customFormat="1" x14ac:dyDescent="0.25"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P136" s="11"/>
      <c r="Q136" s="11"/>
      <c r="R136" s="11"/>
      <c r="S136" s="11"/>
      <c r="T136" s="11"/>
      <c r="U136" s="11"/>
      <c r="V136" s="11"/>
      <c r="W136" s="11"/>
    </row>
    <row r="137" spans="1:23" s="1" customFormat="1" ht="29.25" customHeight="1" x14ac:dyDescent="0.25">
      <c r="A137" s="310" t="s">
        <v>514</v>
      </c>
      <c r="B137" s="310"/>
      <c r="C137" s="310"/>
      <c r="D137" s="310"/>
      <c r="E137" s="310"/>
      <c r="F137" s="310"/>
      <c r="G137" s="310"/>
      <c r="H137" s="310"/>
      <c r="I137" s="310"/>
      <c r="J137" s="310"/>
      <c r="K137" s="310"/>
      <c r="L137" s="310"/>
      <c r="M137" s="154"/>
      <c r="N137" s="56"/>
      <c r="P137" s="11"/>
      <c r="Q137" s="11"/>
      <c r="R137" s="11"/>
      <c r="S137" s="11"/>
      <c r="T137" s="11"/>
      <c r="U137" s="11"/>
      <c r="V137" s="11"/>
      <c r="W137" s="11"/>
    </row>
    <row r="138" spans="1:23" s="1" customFormat="1" x14ac:dyDescent="0.25"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P138" s="11"/>
      <c r="Q138" s="11"/>
      <c r="R138" s="11"/>
      <c r="S138" s="11"/>
      <c r="T138" s="11"/>
      <c r="U138" s="11"/>
      <c r="V138" s="11"/>
      <c r="W138" s="11"/>
    </row>
    <row r="139" spans="1:23" s="1" customFormat="1" x14ac:dyDescent="0.25">
      <c r="A139" s="333" t="s">
        <v>193</v>
      </c>
      <c r="B139" s="336" t="s">
        <v>72</v>
      </c>
      <c r="C139" s="273" t="s">
        <v>43</v>
      </c>
      <c r="D139" s="326"/>
      <c r="E139" s="274"/>
      <c r="F139" s="85"/>
      <c r="G139" s="85"/>
      <c r="H139" s="85"/>
      <c r="I139" s="85"/>
      <c r="J139" s="85"/>
      <c r="K139" s="85"/>
      <c r="L139" s="85"/>
      <c r="M139" s="85"/>
      <c r="P139" s="11"/>
      <c r="Q139" s="11"/>
      <c r="R139" s="11"/>
      <c r="S139" s="11"/>
      <c r="T139" s="11"/>
      <c r="U139" s="11"/>
      <c r="V139" s="11"/>
      <c r="W139" s="11"/>
    </row>
    <row r="140" spans="1:23" s="1" customFormat="1" x14ac:dyDescent="0.25">
      <c r="A140" s="334"/>
      <c r="B140" s="337"/>
      <c r="C140" s="254" t="s">
        <v>399</v>
      </c>
      <c r="D140" s="254" t="s">
        <v>611</v>
      </c>
      <c r="E140" s="254" t="s">
        <v>650</v>
      </c>
      <c r="F140" s="85"/>
      <c r="G140" s="85"/>
      <c r="H140" s="85"/>
      <c r="I140" s="85"/>
      <c r="J140" s="85"/>
      <c r="K140" s="85"/>
      <c r="L140" s="85"/>
      <c r="M140" s="85"/>
      <c r="P140" s="11"/>
      <c r="Q140" s="11"/>
      <c r="R140" s="11"/>
      <c r="S140" s="11"/>
      <c r="T140" s="11"/>
      <c r="U140" s="11"/>
      <c r="V140" s="11"/>
      <c r="W140" s="11"/>
    </row>
    <row r="141" spans="1:23" s="1" customFormat="1" ht="38.25" x14ac:dyDescent="0.25">
      <c r="A141" s="335"/>
      <c r="B141" s="338"/>
      <c r="C141" s="50" t="s">
        <v>44</v>
      </c>
      <c r="D141" s="50" t="s">
        <v>45</v>
      </c>
      <c r="E141" s="50" t="s">
        <v>46</v>
      </c>
      <c r="F141" s="85"/>
      <c r="G141" s="85"/>
      <c r="H141" s="85"/>
      <c r="I141" s="85"/>
      <c r="J141" s="85"/>
      <c r="K141" s="85"/>
      <c r="L141" s="85"/>
      <c r="M141" s="85"/>
      <c r="P141" s="11"/>
      <c r="Q141" s="11"/>
      <c r="R141" s="11"/>
      <c r="S141" s="11"/>
      <c r="T141" s="11"/>
      <c r="U141" s="11"/>
      <c r="V141" s="11"/>
      <c r="W141" s="11"/>
    </row>
    <row r="142" spans="1:23" s="1" customFormat="1" x14ac:dyDescent="0.25">
      <c r="A142" s="51" t="s">
        <v>190</v>
      </c>
      <c r="B142" s="48" t="s">
        <v>73</v>
      </c>
      <c r="C142" s="48" t="s">
        <v>47</v>
      </c>
      <c r="D142" s="48" t="s">
        <v>48</v>
      </c>
      <c r="E142" s="48" t="s">
        <v>49</v>
      </c>
      <c r="F142" s="85"/>
      <c r="G142" s="85"/>
      <c r="H142" s="85"/>
      <c r="I142" s="85"/>
      <c r="J142" s="85"/>
      <c r="K142" s="85"/>
      <c r="L142" s="85"/>
      <c r="M142" s="85"/>
      <c r="P142" s="11"/>
      <c r="Q142" s="11"/>
      <c r="R142" s="11"/>
      <c r="S142" s="11"/>
      <c r="T142" s="11"/>
      <c r="U142" s="11"/>
      <c r="V142" s="11"/>
      <c r="W142" s="11"/>
    </row>
    <row r="143" spans="1:23" s="1" customFormat="1" ht="40.5" hidden="1" customHeight="1" x14ac:dyDescent="0.25">
      <c r="A143" s="4" t="s">
        <v>453</v>
      </c>
      <c r="B143" s="60" t="s">
        <v>74</v>
      </c>
      <c r="C143" s="60">
        <v>0</v>
      </c>
      <c r="D143" s="60">
        <v>0</v>
      </c>
      <c r="E143" s="60">
        <v>0</v>
      </c>
      <c r="F143" s="85"/>
      <c r="G143" s="85"/>
      <c r="H143" s="85"/>
      <c r="I143" s="85"/>
      <c r="J143" s="85"/>
      <c r="K143" s="85"/>
      <c r="L143" s="85"/>
      <c r="M143" s="85"/>
      <c r="N143" s="85"/>
      <c r="O143" s="11"/>
      <c r="P143" s="11"/>
      <c r="Q143" s="11"/>
      <c r="R143" s="11"/>
      <c r="S143" s="11"/>
      <c r="T143" s="11"/>
      <c r="U143" s="11"/>
      <c r="V143" s="11"/>
      <c r="W143" s="11"/>
    </row>
    <row r="144" spans="1:23" s="1" customFormat="1" ht="55.5" hidden="1" customHeight="1" x14ac:dyDescent="0.25">
      <c r="A144" s="4" t="s">
        <v>454</v>
      </c>
      <c r="B144" s="60" t="s">
        <v>75</v>
      </c>
      <c r="C144" s="60">
        <v>0</v>
      </c>
      <c r="D144" s="60">
        <v>0</v>
      </c>
      <c r="E144" s="60">
        <v>0</v>
      </c>
      <c r="F144" s="85"/>
      <c r="G144" s="85"/>
      <c r="H144" s="85"/>
      <c r="I144" s="85"/>
      <c r="J144" s="85"/>
      <c r="K144" s="85"/>
      <c r="L144" s="85"/>
      <c r="M144" s="85"/>
      <c r="N144" s="85"/>
      <c r="O144" s="11"/>
      <c r="P144" s="11"/>
      <c r="Q144" s="11"/>
      <c r="R144" s="11"/>
      <c r="S144" s="11"/>
      <c r="T144" s="11"/>
      <c r="U144" s="11"/>
      <c r="V144" s="11"/>
      <c r="W144" s="11"/>
    </row>
    <row r="145" spans="1:23" s="1" customFormat="1" ht="30.75" customHeight="1" x14ac:dyDescent="0.25">
      <c r="A145" s="4" t="s">
        <v>455</v>
      </c>
      <c r="B145" s="60" t="s">
        <v>76</v>
      </c>
      <c r="C145" s="60">
        <f>F168</f>
        <v>3402623.0031980933</v>
      </c>
      <c r="D145" s="60">
        <f>G168</f>
        <v>3402623.0031980933</v>
      </c>
      <c r="E145" s="60">
        <f>H168</f>
        <v>3402623.0031980933</v>
      </c>
      <c r="F145" s="85"/>
      <c r="G145" s="85"/>
      <c r="H145" s="85"/>
      <c r="I145" s="85"/>
      <c r="J145" s="85"/>
      <c r="K145" s="85"/>
      <c r="L145" s="85"/>
      <c r="M145" s="85"/>
      <c r="P145" s="11"/>
      <c r="Q145" s="11"/>
      <c r="R145" s="11"/>
      <c r="S145" s="11"/>
      <c r="T145" s="11"/>
      <c r="U145" s="11"/>
      <c r="V145" s="11"/>
      <c r="W145" s="11"/>
    </row>
    <row r="146" spans="1:23" s="1" customFormat="1" ht="53.25" hidden="1" customHeight="1" x14ac:dyDescent="0.25">
      <c r="A146" s="4" t="s">
        <v>456</v>
      </c>
      <c r="B146" s="60" t="s">
        <v>86</v>
      </c>
      <c r="C146" s="60">
        <v>0</v>
      </c>
      <c r="D146" s="60">
        <v>0</v>
      </c>
      <c r="E146" s="60">
        <v>0</v>
      </c>
      <c r="F146" s="85"/>
      <c r="G146" s="85"/>
      <c r="H146" s="85"/>
      <c r="I146" s="85"/>
      <c r="J146" s="85"/>
      <c r="K146" s="85"/>
      <c r="L146" s="85"/>
      <c r="M146" s="85"/>
      <c r="P146" s="11"/>
      <c r="Q146" s="11"/>
      <c r="R146" s="11"/>
      <c r="S146" s="11"/>
      <c r="T146" s="11"/>
      <c r="U146" s="11"/>
      <c r="V146" s="11"/>
      <c r="W146" s="11"/>
    </row>
    <row r="147" spans="1:23" s="1" customFormat="1" ht="56.25" hidden="1" customHeight="1" x14ac:dyDescent="0.25">
      <c r="A147" s="4" t="s">
        <v>457</v>
      </c>
      <c r="B147" s="60" t="s">
        <v>87</v>
      </c>
      <c r="C147" s="60">
        <v>0</v>
      </c>
      <c r="D147" s="60">
        <v>0</v>
      </c>
      <c r="E147" s="60">
        <v>0</v>
      </c>
      <c r="F147" s="85"/>
      <c r="G147" s="85"/>
      <c r="H147" s="85"/>
      <c r="I147" s="85"/>
      <c r="J147" s="85"/>
      <c r="K147" s="85"/>
      <c r="L147" s="85"/>
      <c r="M147" s="85"/>
      <c r="P147" s="11"/>
      <c r="Q147" s="11"/>
      <c r="R147" s="11"/>
      <c r="S147" s="11"/>
      <c r="T147" s="11"/>
      <c r="U147" s="11"/>
      <c r="V147" s="11"/>
      <c r="W147" s="11"/>
    </row>
    <row r="148" spans="1:23" s="1" customFormat="1" ht="54" customHeight="1" x14ac:dyDescent="0.25">
      <c r="A148" s="4" t="s">
        <v>458</v>
      </c>
      <c r="B148" s="60" t="s">
        <v>88</v>
      </c>
      <c r="C148" s="30">
        <f>C145</f>
        <v>3402623.0031980933</v>
      </c>
      <c r="D148" s="30">
        <f>D145</f>
        <v>3402623.0031980933</v>
      </c>
      <c r="E148" s="30">
        <f>E145</f>
        <v>3402623.0031980933</v>
      </c>
      <c r="F148" s="85"/>
      <c r="G148" s="85"/>
      <c r="H148" s="85"/>
      <c r="I148" s="85"/>
      <c r="J148" s="85"/>
      <c r="K148" s="85"/>
      <c r="L148" s="85"/>
      <c r="M148" s="85"/>
      <c r="P148" s="11"/>
      <c r="Q148" s="11"/>
      <c r="R148" s="11"/>
      <c r="S148" s="11"/>
      <c r="T148" s="11"/>
      <c r="U148" s="11"/>
      <c r="V148" s="11"/>
      <c r="W148" s="11"/>
    </row>
    <row r="149" spans="1:23" s="1" customFormat="1" x14ac:dyDescent="0.25">
      <c r="A149" s="25"/>
      <c r="B149" s="103"/>
      <c r="C149" s="90"/>
      <c r="D149" s="90"/>
      <c r="E149" s="102"/>
      <c r="F149" s="85"/>
      <c r="G149" s="85"/>
      <c r="H149" s="85"/>
      <c r="I149" s="85"/>
      <c r="J149" s="85"/>
      <c r="K149" s="85"/>
      <c r="L149" s="85"/>
      <c r="M149" s="85"/>
      <c r="P149" s="11"/>
      <c r="Q149" s="11"/>
      <c r="R149" s="11"/>
      <c r="S149" s="11"/>
      <c r="T149" s="11"/>
      <c r="U149" s="11"/>
      <c r="V149" s="11"/>
      <c r="W149" s="11"/>
    </row>
    <row r="150" spans="1:23" s="1" customFormat="1" x14ac:dyDescent="0.25">
      <c r="A150" s="320" t="s">
        <v>515</v>
      </c>
      <c r="B150" s="320"/>
      <c r="C150" s="320"/>
      <c r="D150" s="320"/>
      <c r="E150" s="320"/>
      <c r="F150" s="320"/>
      <c r="G150" s="320"/>
      <c r="H150" s="320"/>
      <c r="I150" s="320"/>
      <c r="J150" s="320"/>
      <c r="K150" s="320"/>
      <c r="L150" s="320"/>
      <c r="M150" s="151"/>
      <c r="P150" s="11"/>
      <c r="Q150" s="11"/>
      <c r="R150" s="11"/>
      <c r="S150" s="11"/>
      <c r="T150" s="11"/>
      <c r="U150" s="11"/>
      <c r="V150" s="11"/>
      <c r="W150" s="11"/>
    </row>
    <row r="151" spans="1:23" s="1" customFormat="1" x14ac:dyDescent="0.25">
      <c r="B151" s="85"/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11"/>
      <c r="P151" s="11"/>
      <c r="Q151" s="11"/>
      <c r="R151" s="11"/>
      <c r="S151" s="11"/>
      <c r="T151" s="11"/>
      <c r="U151" s="11"/>
      <c r="V151" s="11"/>
      <c r="W151" s="11"/>
    </row>
    <row r="152" spans="1:23" s="1" customFormat="1" ht="29.25" customHeight="1" x14ac:dyDescent="0.25">
      <c r="A152" s="269" t="s">
        <v>459</v>
      </c>
      <c r="B152" s="307" t="s">
        <v>72</v>
      </c>
      <c r="C152" s="308" t="s">
        <v>59</v>
      </c>
      <c r="D152" s="308"/>
      <c r="E152" s="308"/>
      <c r="F152" s="331" t="s">
        <v>116</v>
      </c>
      <c r="G152" s="332"/>
      <c r="H152" s="339"/>
      <c r="I152" s="85"/>
      <c r="J152" s="85"/>
      <c r="K152" s="85"/>
      <c r="L152" s="85"/>
      <c r="M152" s="85"/>
      <c r="N152" s="85"/>
      <c r="O152" s="11"/>
      <c r="P152" s="11"/>
      <c r="Q152" s="11"/>
      <c r="R152" s="11"/>
      <c r="S152" s="11"/>
      <c r="T152" s="11"/>
      <c r="U152" s="11"/>
      <c r="V152" s="11"/>
      <c r="W152" s="11"/>
    </row>
    <row r="153" spans="1:23" s="1" customFormat="1" x14ac:dyDescent="0.25">
      <c r="A153" s="269"/>
      <c r="B153" s="307"/>
      <c r="C153" s="254" t="s">
        <v>399</v>
      </c>
      <c r="D153" s="254" t="s">
        <v>611</v>
      </c>
      <c r="E153" s="254" t="s">
        <v>650</v>
      </c>
      <c r="F153" s="254" t="s">
        <v>399</v>
      </c>
      <c r="G153" s="254" t="s">
        <v>611</v>
      </c>
      <c r="H153" s="254" t="s">
        <v>650</v>
      </c>
      <c r="I153" s="85"/>
      <c r="J153" s="85"/>
      <c r="K153" s="85"/>
      <c r="L153" s="85"/>
      <c r="M153" s="85"/>
      <c r="N153" s="85"/>
      <c r="O153" s="11"/>
      <c r="P153" s="11"/>
      <c r="Q153" s="11"/>
      <c r="R153" s="11"/>
      <c r="S153" s="11"/>
      <c r="T153" s="11"/>
      <c r="U153" s="11"/>
      <c r="V153" s="11"/>
    </row>
    <row r="154" spans="1:23" s="1" customFormat="1" ht="38.25" x14ac:dyDescent="0.25">
      <c r="A154" s="269"/>
      <c r="B154" s="307"/>
      <c r="C154" s="49" t="s">
        <v>44</v>
      </c>
      <c r="D154" s="50" t="s">
        <v>45</v>
      </c>
      <c r="E154" s="49" t="s">
        <v>46</v>
      </c>
      <c r="F154" s="49" t="s">
        <v>44</v>
      </c>
      <c r="G154" s="50" t="s">
        <v>46</v>
      </c>
      <c r="H154" s="149" t="s">
        <v>46</v>
      </c>
      <c r="I154" s="85"/>
      <c r="J154" s="85"/>
      <c r="K154" s="85"/>
      <c r="L154" s="85"/>
      <c r="M154" s="85"/>
      <c r="N154" s="85"/>
      <c r="O154" s="11"/>
      <c r="P154" s="11"/>
      <c r="Q154" s="11"/>
      <c r="R154" s="11"/>
      <c r="S154" s="11"/>
      <c r="T154" s="11"/>
      <c r="U154" s="11"/>
      <c r="V154" s="11"/>
    </row>
    <row r="155" spans="1:23" s="1" customFormat="1" x14ac:dyDescent="0.25">
      <c r="A155" s="51" t="s">
        <v>190</v>
      </c>
      <c r="B155" s="48" t="s">
        <v>73</v>
      </c>
      <c r="C155" s="48" t="s">
        <v>47</v>
      </c>
      <c r="D155" s="48" t="s">
        <v>48</v>
      </c>
      <c r="E155" s="48" t="s">
        <v>49</v>
      </c>
      <c r="F155" s="48" t="s">
        <v>52</v>
      </c>
      <c r="G155" s="48" t="s">
        <v>91</v>
      </c>
      <c r="H155" s="148"/>
      <c r="I155" s="85"/>
      <c r="J155" s="85"/>
      <c r="K155" s="85"/>
      <c r="L155" s="85"/>
      <c r="M155" s="85"/>
      <c r="N155" s="85"/>
      <c r="O155" s="11"/>
      <c r="P155" s="11"/>
      <c r="Q155" s="11"/>
      <c r="R155" s="11"/>
      <c r="S155" s="11"/>
      <c r="T155" s="11"/>
      <c r="U155" s="11"/>
      <c r="V155" s="11"/>
    </row>
    <row r="156" spans="1:23" s="1" customFormat="1" ht="27.75" customHeight="1" x14ac:dyDescent="0.25">
      <c r="A156" s="4" t="s">
        <v>460</v>
      </c>
      <c r="B156" s="111" t="s">
        <v>74</v>
      </c>
      <c r="C156" s="111" t="s">
        <v>1</v>
      </c>
      <c r="D156" s="111" t="s">
        <v>1</v>
      </c>
      <c r="E156" s="111" t="s">
        <v>1</v>
      </c>
      <c r="F156" s="111">
        <f>F157+F158+F159</f>
        <v>2478731.6394158294</v>
      </c>
      <c r="G156" s="111">
        <f t="shared" ref="G156" si="35">G157+G158+G159</f>
        <v>2478731.6394158294</v>
      </c>
      <c r="H156" s="139">
        <f>H157+H158+H159</f>
        <v>2478731.6394158294</v>
      </c>
      <c r="I156" s="85"/>
      <c r="J156" s="85"/>
      <c r="K156" s="85"/>
      <c r="L156" s="85"/>
      <c r="M156" s="85"/>
      <c r="N156" s="85"/>
      <c r="O156" s="11"/>
      <c r="P156" s="11"/>
      <c r="Q156" s="11"/>
      <c r="R156" s="11"/>
      <c r="S156" s="11"/>
      <c r="T156" s="11"/>
      <c r="U156" s="11"/>
      <c r="V156" s="11"/>
    </row>
    <row r="157" spans="1:23" s="1" customFormat="1" x14ac:dyDescent="0.25">
      <c r="A157" s="4" t="s">
        <v>461</v>
      </c>
      <c r="B157" s="111" t="s">
        <v>117</v>
      </c>
      <c r="C157" s="111">
        <f>L55</f>
        <v>11266961.99734468</v>
      </c>
      <c r="D157" s="111">
        <f>L94</f>
        <v>11266961.99734468</v>
      </c>
      <c r="E157" s="111">
        <f>L133</f>
        <v>11266961.99734468</v>
      </c>
      <c r="F157" s="111">
        <f>C157*22%</f>
        <v>2478731.6394158294</v>
      </c>
      <c r="G157" s="111">
        <f>D157*22%</f>
        <v>2478731.6394158294</v>
      </c>
      <c r="H157" s="139">
        <f>E157*22%</f>
        <v>2478731.6394158294</v>
      </c>
      <c r="I157" s="85"/>
      <c r="J157" s="85"/>
      <c r="K157" s="85"/>
      <c r="L157" s="85"/>
      <c r="M157" s="85"/>
      <c r="N157" s="85"/>
      <c r="O157" s="11"/>
      <c r="P157" s="11"/>
      <c r="Q157" s="11"/>
      <c r="R157" s="11"/>
      <c r="S157" s="11"/>
      <c r="T157" s="11"/>
      <c r="U157" s="11"/>
      <c r="V157" s="11"/>
    </row>
    <row r="158" spans="1:23" s="1" customFormat="1" x14ac:dyDescent="0.25">
      <c r="A158" s="58" t="s">
        <v>462</v>
      </c>
      <c r="B158" s="111" t="s">
        <v>118</v>
      </c>
      <c r="C158" s="111" t="s">
        <v>1</v>
      </c>
      <c r="D158" s="111" t="s">
        <v>1</v>
      </c>
      <c r="E158" s="111" t="s">
        <v>1</v>
      </c>
      <c r="F158" s="95"/>
      <c r="G158" s="95"/>
      <c r="H158" s="148"/>
      <c r="I158" s="85"/>
      <c r="J158" s="85"/>
      <c r="K158" s="85"/>
      <c r="L158" s="85"/>
      <c r="M158" s="85"/>
      <c r="N158" s="85"/>
      <c r="O158" s="11"/>
      <c r="P158" s="11"/>
      <c r="Q158" s="11"/>
      <c r="R158" s="11"/>
      <c r="S158" s="11"/>
      <c r="T158" s="11"/>
      <c r="U158" s="11"/>
      <c r="V158" s="11"/>
    </row>
    <row r="159" spans="1:23" s="1" customFormat="1" ht="63.75" hidden="1" x14ac:dyDescent="0.25">
      <c r="A159" s="4" t="s">
        <v>463</v>
      </c>
      <c r="B159" s="111" t="s">
        <v>119</v>
      </c>
      <c r="C159" s="111" t="s">
        <v>1</v>
      </c>
      <c r="D159" s="111" t="s">
        <v>1</v>
      </c>
      <c r="E159" s="111" t="s">
        <v>1</v>
      </c>
      <c r="F159" s="111"/>
      <c r="G159" s="111"/>
      <c r="H159" s="148"/>
      <c r="I159" s="85"/>
      <c r="J159" s="85"/>
      <c r="K159" s="85"/>
      <c r="L159" s="85"/>
      <c r="M159" s="85"/>
      <c r="N159" s="85"/>
      <c r="O159" s="11"/>
      <c r="P159" s="11"/>
      <c r="Q159" s="11"/>
      <c r="R159" s="11"/>
      <c r="S159" s="11"/>
      <c r="T159" s="11"/>
      <c r="U159" s="11"/>
      <c r="V159" s="11"/>
    </row>
    <row r="160" spans="1:23" s="1" customFormat="1" ht="39.75" customHeight="1" x14ac:dyDescent="0.25">
      <c r="A160" s="4" t="s">
        <v>464</v>
      </c>
      <c r="B160" s="111" t="s">
        <v>75</v>
      </c>
      <c r="C160" s="111" t="s">
        <v>1</v>
      </c>
      <c r="D160" s="111" t="s">
        <v>1</v>
      </c>
      <c r="E160" s="111" t="s">
        <v>1</v>
      </c>
      <c r="F160" s="111">
        <f>F161+F162+F163+F164</f>
        <v>349275.82191768504</v>
      </c>
      <c r="G160" s="111">
        <f>G161+G162+G163+G164</f>
        <v>349275.82191768504</v>
      </c>
      <c r="H160" s="139">
        <f>H161+H162+H163+H164</f>
        <v>349275.82191768504</v>
      </c>
      <c r="I160" s="85"/>
      <c r="J160" s="85"/>
      <c r="K160" s="104"/>
      <c r="L160" s="85"/>
      <c r="M160" s="85"/>
      <c r="N160" s="85"/>
      <c r="O160" s="11"/>
      <c r="P160" s="11"/>
      <c r="Q160" s="11"/>
      <c r="R160" s="11"/>
      <c r="S160" s="11"/>
      <c r="T160" s="11"/>
      <c r="U160" s="11"/>
      <c r="V160" s="11"/>
    </row>
    <row r="161" spans="1:22" s="1" customFormat="1" ht="63" customHeight="1" x14ac:dyDescent="0.25">
      <c r="A161" s="4" t="s">
        <v>465</v>
      </c>
      <c r="B161" s="111" t="s">
        <v>120</v>
      </c>
      <c r="C161" s="111">
        <f>C157</f>
        <v>11266961.99734468</v>
      </c>
      <c r="D161" s="111">
        <f>D157</f>
        <v>11266961.99734468</v>
      </c>
      <c r="E161" s="111">
        <f>E157</f>
        <v>11266961.99734468</v>
      </c>
      <c r="F161" s="111">
        <f>C161*2.9%</f>
        <v>326741.89792299567</v>
      </c>
      <c r="G161" s="111">
        <f>D161*2.9%</f>
        <v>326741.89792299567</v>
      </c>
      <c r="H161" s="139">
        <f>E161*2.9%</f>
        <v>326741.89792299567</v>
      </c>
      <c r="I161" s="85"/>
      <c r="J161" s="85"/>
      <c r="K161" s="104"/>
      <c r="L161" s="85"/>
      <c r="M161" s="85"/>
      <c r="N161" s="85"/>
      <c r="O161" s="11"/>
      <c r="P161" s="11"/>
      <c r="Q161" s="11"/>
      <c r="R161" s="11"/>
      <c r="S161" s="11"/>
      <c r="T161" s="11"/>
      <c r="U161" s="11"/>
      <c r="V161" s="11"/>
    </row>
    <row r="162" spans="1:22" s="1" customFormat="1" ht="84.75" hidden="1" customHeight="1" x14ac:dyDescent="0.25">
      <c r="A162" s="4" t="s">
        <v>466</v>
      </c>
      <c r="B162" s="111" t="s">
        <v>121</v>
      </c>
      <c r="C162" s="111" t="s">
        <v>1</v>
      </c>
      <c r="D162" s="111" t="s">
        <v>1</v>
      </c>
      <c r="E162" s="111" t="s">
        <v>1</v>
      </c>
      <c r="F162" s="111"/>
      <c r="G162" s="111"/>
      <c r="H162" s="139"/>
      <c r="I162" s="85"/>
      <c r="J162" s="85"/>
      <c r="K162" s="104"/>
      <c r="L162" s="85"/>
      <c r="M162" s="85"/>
      <c r="N162" s="85"/>
      <c r="O162" s="11"/>
      <c r="P162" s="11"/>
      <c r="Q162" s="11"/>
      <c r="R162" s="11"/>
      <c r="S162" s="11"/>
      <c r="T162" s="11"/>
      <c r="U162" s="11"/>
      <c r="V162" s="11"/>
    </row>
    <row r="163" spans="1:22" s="1" customFormat="1" ht="63" customHeight="1" x14ac:dyDescent="0.25">
      <c r="A163" s="4" t="s">
        <v>467</v>
      </c>
      <c r="B163" s="111" t="s">
        <v>122</v>
      </c>
      <c r="C163" s="111">
        <f>C157</f>
        <v>11266961.99734468</v>
      </c>
      <c r="D163" s="111">
        <f>D157</f>
        <v>11266961.99734468</v>
      </c>
      <c r="E163" s="111">
        <f>E157</f>
        <v>11266961.99734468</v>
      </c>
      <c r="F163" s="111">
        <f>C163*0.2%</f>
        <v>22533.923994689361</v>
      </c>
      <c r="G163" s="111">
        <f>D163*0.2%</f>
        <v>22533.923994689361</v>
      </c>
      <c r="H163" s="139">
        <f>E163*0.2%</f>
        <v>22533.923994689361</v>
      </c>
      <c r="I163" s="85"/>
      <c r="J163" s="85"/>
      <c r="K163" s="104"/>
      <c r="L163" s="85"/>
      <c r="M163" s="85"/>
      <c r="N163" s="85"/>
      <c r="O163" s="11"/>
      <c r="P163" s="11"/>
      <c r="Q163" s="11"/>
      <c r="R163" s="11"/>
      <c r="S163" s="11"/>
      <c r="T163" s="11"/>
      <c r="U163" s="11"/>
      <c r="V163" s="11"/>
    </row>
    <row r="164" spans="1:22" s="1" customFormat="1" ht="63.75" hidden="1" x14ac:dyDescent="0.25">
      <c r="A164" s="4" t="s">
        <v>468</v>
      </c>
      <c r="B164" s="111" t="s">
        <v>123</v>
      </c>
      <c r="C164" s="95" t="s">
        <v>180</v>
      </c>
      <c r="D164" s="95" t="s">
        <v>180</v>
      </c>
      <c r="E164" s="95" t="s">
        <v>180</v>
      </c>
      <c r="F164" s="111"/>
      <c r="G164" s="111"/>
      <c r="H164" s="139"/>
      <c r="I164" s="85"/>
      <c r="J164" s="85"/>
      <c r="K164" s="104"/>
      <c r="L164" s="85"/>
      <c r="M164" s="85"/>
      <c r="N164" s="85"/>
      <c r="O164" s="11"/>
      <c r="P164" s="11"/>
      <c r="Q164" s="11"/>
      <c r="R164" s="11"/>
      <c r="S164" s="11"/>
      <c r="T164" s="11"/>
      <c r="U164" s="11"/>
      <c r="V164" s="11"/>
    </row>
    <row r="165" spans="1:22" s="1" customFormat="1" ht="63.75" hidden="1" x14ac:dyDescent="0.25">
      <c r="A165" s="4" t="s">
        <v>468</v>
      </c>
      <c r="B165" s="66"/>
      <c r="C165" s="95" t="s">
        <v>180</v>
      </c>
      <c r="D165" s="95" t="s">
        <v>180</v>
      </c>
      <c r="E165" s="95" t="s">
        <v>180</v>
      </c>
      <c r="F165" s="111"/>
      <c r="G165" s="111"/>
      <c r="H165" s="139"/>
      <c r="I165" s="85"/>
      <c r="J165" s="85"/>
      <c r="K165" s="104"/>
      <c r="L165" s="85"/>
      <c r="M165" s="85"/>
      <c r="N165" s="85"/>
      <c r="O165" s="11"/>
      <c r="P165" s="11"/>
      <c r="Q165" s="11"/>
      <c r="R165" s="11"/>
      <c r="S165" s="11"/>
      <c r="T165" s="11"/>
      <c r="U165" s="11"/>
      <c r="V165" s="11"/>
    </row>
    <row r="166" spans="1:22" s="1" customFormat="1" ht="37.5" customHeight="1" x14ac:dyDescent="0.25">
      <c r="A166" s="4" t="s">
        <v>469</v>
      </c>
      <c r="B166" s="111" t="s">
        <v>76</v>
      </c>
      <c r="C166" s="111" t="s">
        <v>1</v>
      </c>
      <c r="D166" s="111" t="s">
        <v>1</v>
      </c>
      <c r="E166" s="111" t="s">
        <v>1</v>
      </c>
      <c r="F166" s="111">
        <f>F167</f>
        <v>574615.06186457863</v>
      </c>
      <c r="G166" s="111">
        <f t="shared" ref="G166:H166" si="36">G167</f>
        <v>574615.06186457863</v>
      </c>
      <c r="H166" s="139">
        <f t="shared" si="36"/>
        <v>574615.06186457863</v>
      </c>
      <c r="I166" s="85"/>
      <c r="J166" s="85"/>
      <c r="K166" s="104"/>
      <c r="L166" s="85"/>
      <c r="M166" s="85"/>
      <c r="N166" s="85"/>
      <c r="O166" s="11"/>
      <c r="P166" s="11"/>
      <c r="Q166" s="11"/>
      <c r="R166" s="11"/>
      <c r="S166" s="11"/>
      <c r="T166" s="11"/>
      <c r="U166" s="11"/>
      <c r="V166" s="11"/>
    </row>
    <row r="167" spans="1:22" s="1" customFormat="1" ht="38.25" x14ac:dyDescent="0.25">
      <c r="A167" s="4" t="s">
        <v>470</v>
      </c>
      <c r="B167" s="111" t="s">
        <v>77</v>
      </c>
      <c r="C167" s="111">
        <f>C157</f>
        <v>11266961.99734468</v>
      </c>
      <c r="D167" s="111">
        <f>D157</f>
        <v>11266961.99734468</v>
      </c>
      <c r="E167" s="111">
        <f>E157</f>
        <v>11266961.99734468</v>
      </c>
      <c r="F167" s="111">
        <f>C167*5.1%</f>
        <v>574615.06186457863</v>
      </c>
      <c r="G167" s="111">
        <f>D167*5.1%</f>
        <v>574615.06186457863</v>
      </c>
      <c r="H167" s="139">
        <f>E167*5.1%</f>
        <v>574615.06186457863</v>
      </c>
      <c r="I167" s="85"/>
      <c r="J167" s="85"/>
      <c r="K167" s="104"/>
      <c r="L167" s="85"/>
      <c r="M167" s="85"/>
      <c r="N167" s="85"/>
      <c r="O167" s="11"/>
      <c r="P167" s="11"/>
      <c r="Q167" s="11"/>
      <c r="R167" s="11"/>
      <c r="S167" s="11"/>
      <c r="T167" s="11"/>
      <c r="U167" s="11"/>
      <c r="V167" s="11"/>
    </row>
    <row r="168" spans="1:22" x14ac:dyDescent="0.25">
      <c r="A168" s="55" t="s">
        <v>427</v>
      </c>
      <c r="B168" s="48" t="s">
        <v>1</v>
      </c>
      <c r="C168" s="111" t="s">
        <v>1</v>
      </c>
      <c r="D168" s="111" t="s">
        <v>1</v>
      </c>
      <c r="E168" s="111" t="s">
        <v>1</v>
      </c>
      <c r="F168" s="94">
        <f>F156+F160+F167+0.48</f>
        <v>3402623.0031980933</v>
      </c>
      <c r="G168" s="94">
        <f t="shared" ref="G168:H168" si="37">G156+G160+G167+0.48</f>
        <v>3402623.0031980933</v>
      </c>
      <c r="H168" s="94">
        <f t="shared" si="37"/>
        <v>3402623.0031980933</v>
      </c>
      <c r="I168" s="85"/>
      <c r="J168" s="85"/>
      <c r="K168" s="85"/>
      <c r="L168" s="1"/>
      <c r="M168" s="1"/>
      <c r="N168" s="1"/>
    </row>
    <row r="169" spans="1:22" ht="24.75" customHeight="1" x14ac:dyDescent="0.25">
      <c r="A169" s="327" t="s">
        <v>396</v>
      </c>
      <c r="B169" s="327"/>
      <c r="C169" s="327"/>
      <c r="D169" s="327"/>
      <c r="E169" s="327"/>
      <c r="F169" s="327"/>
      <c r="G169" s="327"/>
      <c r="H169" s="46"/>
      <c r="I169" s="46"/>
      <c r="J169" s="46"/>
      <c r="K169" s="46"/>
      <c r="L169" s="46"/>
      <c r="M169" s="153"/>
      <c r="N169" s="46"/>
    </row>
    <row r="170" spans="1:22" ht="7.5" customHeight="1" x14ac:dyDescent="0.25">
      <c r="A170" s="147"/>
      <c r="B170" s="147"/>
      <c r="C170" s="147"/>
      <c r="D170" s="147"/>
      <c r="E170" s="147"/>
      <c r="F170" s="147"/>
      <c r="G170" s="147"/>
      <c r="H170" s="153"/>
      <c r="I170" s="153"/>
      <c r="J170" s="153"/>
      <c r="K170" s="153"/>
      <c r="L170" s="153"/>
      <c r="M170" s="153"/>
      <c r="N170" s="153"/>
    </row>
    <row r="171" spans="1:22" ht="15" customHeight="1" x14ac:dyDescent="0.25">
      <c r="A171" s="328" t="s">
        <v>584</v>
      </c>
      <c r="B171" s="328"/>
      <c r="C171" s="328"/>
      <c r="D171" s="328"/>
      <c r="E171" s="328"/>
      <c r="F171" s="328"/>
      <c r="G171" s="328"/>
      <c r="H171" s="328"/>
      <c r="I171" s="328"/>
      <c r="J171" s="328"/>
      <c r="K171" s="328"/>
      <c r="L171" s="328"/>
      <c r="M171" s="328"/>
      <c r="N171" s="328"/>
    </row>
    <row r="172" spans="1:22" ht="11.25" hidden="1" customHeight="1" x14ac:dyDescent="0.25">
      <c r="A172" s="147"/>
      <c r="B172" s="147"/>
      <c r="C172" s="147"/>
      <c r="D172" s="147"/>
      <c r="E172" s="147"/>
      <c r="F172" s="147"/>
      <c r="G172" s="147"/>
      <c r="H172" s="153"/>
      <c r="I172" s="153"/>
      <c r="J172" s="153"/>
      <c r="K172" s="153"/>
      <c r="L172" s="153"/>
      <c r="M172" s="153"/>
      <c r="N172" s="153"/>
    </row>
    <row r="173" spans="1:22" ht="28.5" hidden="1" customHeight="1" x14ac:dyDescent="0.25">
      <c r="A173" s="299" t="s">
        <v>451</v>
      </c>
      <c r="B173" s="307" t="s">
        <v>72</v>
      </c>
      <c r="C173" s="307" t="s">
        <v>124</v>
      </c>
      <c r="D173" s="307"/>
      <c r="E173" s="307"/>
      <c r="F173" s="340" t="s">
        <v>581</v>
      </c>
      <c r="G173" s="341"/>
      <c r="H173" s="331" t="s">
        <v>43</v>
      </c>
      <c r="I173" s="332"/>
      <c r="J173" s="339"/>
      <c r="K173" s="153"/>
      <c r="L173" s="153"/>
      <c r="M173" s="153"/>
      <c r="N173" s="153"/>
    </row>
    <row r="174" spans="1:22" ht="24.75" hidden="1" customHeight="1" x14ac:dyDescent="0.25">
      <c r="A174" s="299"/>
      <c r="B174" s="307"/>
      <c r="C174" s="145" t="s">
        <v>8</v>
      </c>
      <c r="D174" s="145" t="s">
        <v>9</v>
      </c>
      <c r="E174" s="145" t="s">
        <v>399</v>
      </c>
      <c r="F174" s="145" t="s">
        <v>8</v>
      </c>
      <c r="G174" s="145" t="s">
        <v>399</v>
      </c>
      <c r="H174" s="145" t="s">
        <v>8</v>
      </c>
      <c r="I174" s="145" t="s">
        <v>9</v>
      </c>
      <c r="J174" s="145" t="s">
        <v>399</v>
      </c>
      <c r="K174" s="153"/>
      <c r="L174" s="153"/>
      <c r="M174" s="153"/>
      <c r="N174" s="153"/>
    </row>
    <row r="175" spans="1:22" ht="24.75" hidden="1" customHeight="1" x14ac:dyDescent="0.25">
      <c r="A175" s="299"/>
      <c r="B175" s="307"/>
      <c r="C175" s="146" t="s">
        <v>44</v>
      </c>
      <c r="D175" s="146" t="s">
        <v>45</v>
      </c>
      <c r="E175" s="146" t="s">
        <v>46</v>
      </c>
      <c r="F175" s="146" t="s">
        <v>44</v>
      </c>
      <c r="G175" s="146" t="s">
        <v>46</v>
      </c>
      <c r="H175" s="146" t="s">
        <v>44</v>
      </c>
      <c r="I175" s="146" t="s">
        <v>45</v>
      </c>
      <c r="J175" s="146" t="s">
        <v>46</v>
      </c>
      <c r="K175" s="153"/>
      <c r="L175" s="153"/>
      <c r="M175" s="153"/>
      <c r="N175" s="153"/>
    </row>
    <row r="176" spans="1:22" ht="24.75" hidden="1" customHeight="1" x14ac:dyDescent="0.25">
      <c r="A176" s="144" t="s">
        <v>190</v>
      </c>
      <c r="B176" s="143" t="s">
        <v>73</v>
      </c>
      <c r="C176" s="143" t="s">
        <v>47</v>
      </c>
      <c r="D176" s="143" t="s">
        <v>48</v>
      </c>
      <c r="E176" s="143" t="s">
        <v>49</v>
      </c>
      <c r="F176" s="143" t="s">
        <v>52</v>
      </c>
      <c r="G176" s="143" t="s">
        <v>91</v>
      </c>
      <c r="H176" s="143" t="s">
        <v>92</v>
      </c>
      <c r="I176" s="143" t="s">
        <v>93</v>
      </c>
      <c r="J176" s="143" t="s">
        <v>94</v>
      </c>
      <c r="K176" s="153"/>
      <c r="L176" s="153"/>
      <c r="M176" s="153"/>
      <c r="N176" s="153"/>
    </row>
    <row r="177" spans="1:15" ht="66.75" hidden="1" customHeight="1" x14ac:dyDescent="0.25">
      <c r="A177" s="4" t="s">
        <v>580</v>
      </c>
      <c r="B177" s="143" t="s">
        <v>98</v>
      </c>
      <c r="C177" s="143">
        <v>4375</v>
      </c>
      <c r="D177" s="143">
        <v>4375</v>
      </c>
      <c r="E177" s="143">
        <v>4375</v>
      </c>
      <c r="F177" s="143">
        <v>4</v>
      </c>
      <c r="G177" s="143">
        <v>4</v>
      </c>
      <c r="H177" s="143">
        <v>1</v>
      </c>
      <c r="I177" s="143">
        <v>1</v>
      </c>
      <c r="J177" s="143">
        <v>1</v>
      </c>
      <c r="K177" s="85"/>
      <c r="L177" s="85"/>
      <c r="M177" s="85"/>
      <c r="N177" s="1"/>
    </row>
    <row r="178" spans="1:15" hidden="1" x14ac:dyDescent="0.25">
      <c r="A178" s="144" t="s">
        <v>427</v>
      </c>
      <c r="B178" s="143" t="s">
        <v>1</v>
      </c>
      <c r="C178" s="143" t="s">
        <v>1</v>
      </c>
      <c r="D178" s="143" t="s">
        <v>1</v>
      </c>
      <c r="E178" s="143" t="s">
        <v>1</v>
      </c>
      <c r="F178" s="143" t="s">
        <v>1</v>
      </c>
      <c r="G178" s="143" t="s">
        <v>1</v>
      </c>
      <c r="H178" s="143" t="s">
        <v>1</v>
      </c>
      <c r="I178" s="143" t="s">
        <v>1</v>
      </c>
      <c r="J178" s="143" t="s">
        <v>1</v>
      </c>
      <c r="K178" s="85"/>
      <c r="L178" s="85"/>
      <c r="M178" s="85"/>
      <c r="N178" s="1"/>
    </row>
    <row r="179" spans="1:15" ht="9.75" customHeight="1" x14ac:dyDescent="0.25">
      <c r="A179" s="1"/>
      <c r="B179" s="85"/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1"/>
    </row>
    <row r="180" spans="1:15" x14ac:dyDescent="0.25">
      <c r="A180" s="8" t="s">
        <v>516</v>
      </c>
      <c r="B180" s="85"/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1"/>
    </row>
    <row r="181" spans="1:15" ht="9" hidden="1" customHeight="1" x14ac:dyDescent="0.25">
      <c r="A181" s="1"/>
      <c r="B181" s="85"/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1"/>
    </row>
    <row r="182" spans="1:15" ht="25.5" hidden="1" customHeight="1" x14ac:dyDescent="0.25">
      <c r="A182" s="299" t="s">
        <v>451</v>
      </c>
      <c r="B182" s="307" t="s">
        <v>72</v>
      </c>
      <c r="C182" s="307" t="s">
        <v>60</v>
      </c>
      <c r="D182" s="307"/>
      <c r="E182" s="307"/>
      <c r="F182" s="331" t="s">
        <v>124</v>
      </c>
      <c r="G182" s="332"/>
      <c r="H182" s="332"/>
      <c r="I182" s="305" t="s">
        <v>125</v>
      </c>
      <c r="J182" s="305"/>
      <c r="K182" s="305"/>
      <c r="L182" s="305" t="s">
        <v>43</v>
      </c>
      <c r="M182" s="305"/>
      <c r="N182" s="305"/>
      <c r="O182" s="26"/>
    </row>
    <row r="183" spans="1:15" ht="17.25" hidden="1" customHeight="1" x14ac:dyDescent="0.25">
      <c r="A183" s="299"/>
      <c r="B183" s="307"/>
      <c r="C183" s="254" t="s">
        <v>399</v>
      </c>
      <c r="D183" s="254" t="s">
        <v>611</v>
      </c>
      <c r="E183" s="254" t="s">
        <v>650</v>
      </c>
      <c r="F183" s="254" t="s">
        <v>399</v>
      </c>
      <c r="G183" s="254" t="s">
        <v>611</v>
      </c>
      <c r="H183" s="254" t="s">
        <v>650</v>
      </c>
      <c r="I183" s="254" t="s">
        <v>399</v>
      </c>
      <c r="J183" s="254" t="s">
        <v>611</v>
      </c>
      <c r="K183" s="254" t="s">
        <v>650</v>
      </c>
      <c r="L183" s="254" t="s">
        <v>399</v>
      </c>
      <c r="M183" s="254" t="s">
        <v>611</v>
      </c>
      <c r="N183" s="254" t="s">
        <v>650</v>
      </c>
    </row>
    <row r="184" spans="1:15" ht="38.25" hidden="1" x14ac:dyDescent="0.25">
      <c r="A184" s="299"/>
      <c r="B184" s="307"/>
      <c r="C184" s="49" t="s">
        <v>44</v>
      </c>
      <c r="D184" s="49" t="s">
        <v>45</v>
      </c>
      <c r="E184" s="49" t="s">
        <v>46</v>
      </c>
      <c r="F184" s="152" t="s">
        <v>44</v>
      </c>
      <c r="G184" s="152" t="s">
        <v>45</v>
      </c>
      <c r="H184" s="152" t="s">
        <v>46</v>
      </c>
      <c r="I184" s="152" t="s">
        <v>44</v>
      </c>
      <c r="J184" s="152" t="s">
        <v>45</v>
      </c>
      <c r="K184" s="152" t="s">
        <v>46</v>
      </c>
      <c r="L184" s="152" t="s">
        <v>44</v>
      </c>
      <c r="M184" s="152" t="s">
        <v>45</v>
      </c>
      <c r="N184" s="152" t="s">
        <v>46</v>
      </c>
    </row>
    <row r="185" spans="1:15" ht="12.75" hidden="1" customHeight="1" x14ac:dyDescent="0.25">
      <c r="A185" s="51" t="s">
        <v>190</v>
      </c>
      <c r="B185" s="48" t="s">
        <v>73</v>
      </c>
      <c r="C185" s="48" t="s">
        <v>47</v>
      </c>
      <c r="D185" s="48" t="s">
        <v>48</v>
      </c>
      <c r="E185" s="48" t="s">
        <v>49</v>
      </c>
      <c r="F185" s="48" t="s">
        <v>52</v>
      </c>
      <c r="G185" s="48" t="s">
        <v>91</v>
      </c>
      <c r="H185" s="48" t="s">
        <v>92</v>
      </c>
      <c r="I185" s="48" t="s">
        <v>93</v>
      </c>
      <c r="J185" s="48" t="s">
        <v>94</v>
      </c>
      <c r="K185" s="48" t="s">
        <v>115</v>
      </c>
      <c r="L185" s="48" t="s">
        <v>126</v>
      </c>
      <c r="M185" s="93">
        <v>14</v>
      </c>
      <c r="N185" s="93">
        <v>15</v>
      </c>
    </row>
    <row r="186" spans="1:15" ht="39.75" hidden="1" customHeight="1" x14ac:dyDescent="0.25">
      <c r="A186" s="42" t="s">
        <v>183</v>
      </c>
      <c r="B186" s="48" t="s">
        <v>98</v>
      </c>
      <c r="C186" s="111"/>
      <c r="D186" s="111"/>
      <c r="E186" s="111"/>
      <c r="F186" s="111"/>
      <c r="G186" s="111"/>
      <c r="H186" s="111"/>
      <c r="I186" s="111"/>
      <c r="J186" s="111"/>
      <c r="K186" s="111"/>
      <c r="L186" s="139">
        <v>0</v>
      </c>
      <c r="M186" s="150">
        <v>0</v>
      </c>
      <c r="N186" s="111">
        <f>E186*G186*J186</f>
        <v>0</v>
      </c>
    </row>
    <row r="187" spans="1:15" hidden="1" x14ac:dyDescent="0.25">
      <c r="A187" s="51" t="s">
        <v>427</v>
      </c>
      <c r="B187" s="48" t="s">
        <v>1</v>
      </c>
      <c r="C187" s="111" t="s">
        <v>1</v>
      </c>
      <c r="D187" s="111" t="s">
        <v>1</v>
      </c>
      <c r="E187" s="111" t="s">
        <v>1</v>
      </c>
      <c r="F187" s="111" t="s">
        <v>1</v>
      </c>
      <c r="G187" s="111" t="s">
        <v>1</v>
      </c>
      <c r="H187" s="111" t="s">
        <v>1</v>
      </c>
      <c r="I187" s="111" t="s">
        <v>1</v>
      </c>
      <c r="J187" s="111" t="s">
        <v>1</v>
      </c>
      <c r="K187" s="150" t="s">
        <v>1</v>
      </c>
      <c r="L187" s="94">
        <f t="shared" ref="L187:N187" si="38">L186</f>
        <v>0</v>
      </c>
      <c r="M187" s="94">
        <f t="shared" si="38"/>
        <v>0</v>
      </c>
      <c r="N187" s="94">
        <f t="shared" si="38"/>
        <v>0</v>
      </c>
    </row>
    <row r="188" spans="1:15" ht="10.5" customHeight="1" x14ac:dyDescent="0.25">
      <c r="A188" s="1"/>
      <c r="B188" s="85"/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1"/>
    </row>
    <row r="189" spans="1:15" x14ac:dyDescent="0.25">
      <c r="A189" s="8" t="s">
        <v>518</v>
      </c>
      <c r="B189" s="85"/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1"/>
    </row>
    <row r="190" spans="1:15" hidden="1" x14ac:dyDescent="0.25">
      <c r="A190" s="1"/>
      <c r="B190" s="85"/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1"/>
    </row>
    <row r="191" spans="1:15" ht="28.5" hidden="1" customHeight="1" x14ac:dyDescent="0.25">
      <c r="A191" s="299" t="s">
        <v>451</v>
      </c>
      <c r="B191" s="307" t="s">
        <v>72</v>
      </c>
      <c r="C191" s="307" t="s">
        <v>61</v>
      </c>
      <c r="D191" s="307"/>
      <c r="E191" s="307"/>
      <c r="F191" s="340" t="s">
        <v>128</v>
      </c>
      <c r="G191" s="342"/>
      <c r="H191" s="341"/>
      <c r="I191" s="340" t="s">
        <v>582</v>
      </c>
      <c r="J191" s="342"/>
      <c r="K191" s="341"/>
      <c r="L191" s="331" t="s">
        <v>43</v>
      </c>
      <c r="M191" s="332"/>
      <c r="N191" s="339"/>
    </row>
    <row r="192" spans="1:15" ht="14.25" hidden="1" customHeight="1" x14ac:dyDescent="0.25">
      <c r="A192" s="299"/>
      <c r="B192" s="307"/>
      <c r="C192" s="202" t="s">
        <v>9</v>
      </c>
      <c r="D192" s="202" t="s">
        <v>399</v>
      </c>
      <c r="E192" s="202" t="s">
        <v>611</v>
      </c>
      <c r="F192" s="202" t="s">
        <v>9</v>
      </c>
      <c r="G192" s="202" t="s">
        <v>399</v>
      </c>
      <c r="H192" s="202" t="s">
        <v>611</v>
      </c>
      <c r="I192" s="202" t="s">
        <v>9</v>
      </c>
      <c r="J192" s="202" t="s">
        <v>399</v>
      </c>
      <c r="K192" s="202" t="s">
        <v>611</v>
      </c>
      <c r="L192" s="202" t="s">
        <v>9</v>
      </c>
      <c r="M192" s="202" t="s">
        <v>399</v>
      </c>
      <c r="N192" s="202" t="s">
        <v>611</v>
      </c>
    </row>
    <row r="193" spans="1:14" ht="39.75" hidden="1" customHeight="1" x14ac:dyDescent="0.25">
      <c r="A193" s="299"/>
      <c r="B193" s="307"/>
      <c r="C193" s="49" t="s">
        <v>44</v>
      </c>
      <c r="D193" s="49" t="s">
        <v>45</v>
      </c>
      <c r="E193" s="49" t="s">
        <v>46</v>
      </c>
      <c r="F193" s="152" t="s">
        <v>44</v>
      </c>
      <c r="G193" s="152" t="s">
        <v>45</v>
      </c>
      <c r="H193" s="152" t="s">
        <v>46</v>
      </c>
      <c r="I193" s="152" t="s">
        <v>44</v>
      </c>
      <c r="J193" s="152" t="s">
        <v>45</v>
      </c>
      <c r="K193" s="152" t="s">
        <v>46</v>
      </c>
      <c r="L193" s="152" t="s">
        <v>44</v>
      </c>
      <c r="M193" s="152" t="s">
        <v>45</v>
      </c>
      <c r="N193" s="152" t="s">
        <v>46</v>
      </c>
    </row>
    <row r="194" spans="1:14" hidden="1" x14ac:dyDescent="0.25">
      <c r="A194" s="51" t="s">
        <v>190</v>
      </c>
      <c r="B194" s="48" t="s">
        <v>73</v>
      </c>
      <c r="C194" s="48" t="s">
        <v>47</v>
      </c>
      <c r="D194" s="48" t="s">
        <v>48</v>
      </c>
      <c r="E194" s="48" t="s">
        <v>49</v>
      </c>
      <c r="F194" s="48" t="s">
        <v>52</v>
      </c>
      <c r="G194" s="48" t="s">
        <v>91</v>
      </c>
      <c r="H194" s="48" t="s">
        <v>92</v>
      </c>
      <c r="I194" s="48" t="s">
        <v>93</v>
      </c>
      <c r="J194" s="48" t="s">
        <v>94</v>
      </c>
      <c r="K194" s="48" t="s">
        <v>115</v>
      </c>
      <c r="L194" s="48" t="s">
        <v>126</v>
      </c>
      <c r="M194" s="93">
        <v>14</v>
      </c>
      <c r="N194" s="93">
        <v>15</v>
      </c>
    </row>
    <row r="195" spans="1:14" ht="27" hidden="1" customHeight="1" x14ac:dyDescent="0.25">
      <c r="A195" s="19"/>
      <c r="B195" s="48"/>
      <c r="C195" s="111"/>
      <c r="D195" s="111"/>
      <c r="E195" s="111"/>
      <c r="F195" s="111"/>
      <c r="G195" s="111"/>
      <c r="H195" s="150"/>
      <c r="I195" s="111"/>
      <c r="J195" s="111"/>
      <c r="K195" s="150"/>
      <c r="L195" s="111"/>
      <c r="M195" s="150"/>
      <c r="N195" s="111"/>
    </row>
    <row r="196" spans="1:14" hidden="1" x14ac:dyDescent="0.25">
      <c r="A196" s="51" t="s">
        <v>427</v>
      </c>
      <c r="B196" s="48" t="s">
        <v>1</v>
      </c>
      <c r="C196" s="111" t="s">
        <v>1</v>
      </c>
      <c r="D196" s="111" t="s">
        <v>1</v>
      </c>
      <c r="E196" s="111" t="s">
        <v>1</v>
      </c>
      <c r="F196" s="111" t="s">
        <v>1</v>
      </c>
      <c r="G196" s="111" t="s">
        <v>1</v>
      </c>
      <c r="H196" s="111" t="s">
        <v>1</v>
      </c>
      <c r="I196" s="111" t="s">
        <v>1</v>
      </c>
      <c r="J196" s="111" t="s">
        <v>1</v>
      </c>
      <c r="K196" s="150" t="s">
        <v>1</v>
      </c>
      <c r="L196" s="94">
        <f t="shared" ref="L196:N196" si="39">L195</f>
        <v>0</v>
      </c>
      <c r="M196" s="94">
        <f t="shared" si="39"/>
        <v>0</v>
      </c>
      <c r="N196" s="94">
        <f t="shared" si="39"/>
        <v>0</v>
      </c>
    </row>
    <row r="197" spans="1:14" ht="9.75" customHeight="1" x14ac:dyDescent="0.25">
      <c r="A197" s="1"/>
      <c r="B197" s="85"/>
      <c r="C197" s="85"/>
      <c r="D197" s="85"/>
      <c r="E197" s="85"/>
      <c r="F197" s="85"/>
      <c r="G197" s="85"/>
      <c r="H197" s="85"/>
      <c r="I197" s="85"/>
      <c r="J197" s="85"/>
      <c r="K197" s="85"/>
      <c r="L197" s="1"/>
      <c r="M197" s="1"/>
      <c r="N197" s="1"/>
    </row>
    <row r="198" spans="1:14" x14ac:dyDescent="0.25">
      <c r="A198" s="8" t="s">
        <v>397</v>
      </c>
      <c r="B198" s="85"/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1"/>
    </row>
    <row r="199" spans="1:14" hidden="1" x14ac:dyDescent="0.25">
      <c r="A199" s="1"/>
      <c r="B199" s="85"/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1"/>
    </row>
    <row r="200" spans="1:14" hidden="1" x14ac:dyDescent="0.25">
      <c r="A200" s="269" t="s">
        <v>193</v>
      </c>
      <c r="B200" s="307" t="s">
        <v>72</v>
      </c>
      <c r="C200" s="275" t="s">
        <v>62</v>
      </c>
      <c r="D200" s="275"/>
      <c r="E200" s="275"/>
      <c r="F200" s="275" t="s">
        <v>129</v>
      </c>
      <c r="G200" s="275"/>
      <c r="H200" s="275"/>
      <c r="I200" s="273" t="s">
        <v>130</v>
      </c>
      <c r="J200" s="326"/>
      <c r="K200" s="274"/>
      <c r="L200" s="85"/>
      <c r="M200" s="85"/>
      <c r="N200" s="1"/>
    </row>
    <row r="201" spans="1:14" hidden="1" x14ac:dyDescent="0.25">
      <c r="A201" s="269"/>
      <c r="B201" s="307"/>
      <c r="C201" s="37" t="s">
        <v>38</v>
      </c>
      <c r="D201" s="37" t="s">
        <v>38</v>
      </c>
      <c r="E201" s="37" t="s">
        <v>38</v>
      </c>
      <c r="F201" s="37" t="s">
        <v>38</v>
      </c>
      <c r="G201" s="37" t="s">
        <v>38</v>
      </c>
      <c r="H201" s="37" t="s">
        <v>38</v>
      </c>
      <c r="I201" s="37" t="s">
        <v>38</v>
      </c>
      <c r="J201" s="37" t="s">
        <v>38</v>
      </c>
      <c r="K201" s="37" t="s">
        <v>38</v>
      </c>
      <c r="L201" s="85"/>
      <c r="M201" s="85"/>
      <c r="N201" s="1"/>
    </row>
    <row r="202" spans="1:14" ht="38.25" hidden="1" x14ac:dyDescent="0.25">
      <c r="A202" s="269"/>
      <c r="B202" s="307"/>
      <c r="C202" s="49" t="s">
        <v>44</v>
      </c>
      <c r="D202" s="49" t="s">
        <v>45</v>
      </c>
      <c r="E202" s="49" t="s">
        <v>46</v>
      </c>
      <c r="F202" s="49" t="s">
        <v>44</v>
      </c>
      <c r="G202" s="49" t="s">
        <v>45</v>
      </c>
      <c r="H202" s="49" t="s">
        <v>46</v>
      </c>
      <c r="I202" s="49" t="s">
        <v>44</v>
      </c>
      <c r="J202" s="49" t="s">
        <v>45</v>
      </c>
      <c r="K202" s="49" t="s">
        <v>46</v>
      </c>
      <c r="L202" s="85"/>
      <c r="M202" s="85"/>
      <c r="N202" s="1"/>
    </row>
    <row r="203" spans="1:14" hidden="1" x14ac:dyDescent="0.25">
      <c r="A203" s="51" t="s">
        <v>190</v>
      </c>
      <c r="B203" s="48" t="s">
        <v>73</v>
      </c>
      <c r="C203" s="48" t="s">
        <v>47</v>
      </c>
      <c r="D203" s="48" t="s">
        <v>48</v>
      </c>
      <c r="E203" s="48" t="s">
        <v>49</v>
      </c>
      <c r="F203" s="48" t="s">
        <v>52</v>
      </c>
      <c r="G203" s="48" t="s">
        <v>53</v>
      </c>
      <c r="H203" s="48" t="s">
        <v>91</v>
      </c>
      <c r="I203" s="48" t="s">
        <v>92</v>
      </c>
      <c r="J203" s="48" t="s">
        <v>93</v>
      </c>
      <c r="K203" s="48" t="s">
        <v>94</v>
      </c>
      <c r="L203" s="85"/>
      <c r="M203" s="85"/>
      <c r="N203" s="1"/>
    </row>
    <row r="204" spans="1:14" hidden="1" x14ac:dyDescent="0.25">
      <c r="A204" s="45"/>
      <c r="B204" s="48" t="s">
        <v>98</v>
      </c>
      <c r="C204" s="36"/>
      <c r="D204" s="36"/>
      <c r="E204" s="36"/>
      <c r="F204" s="36"/>
      <c r="G204" s="36"/>
      <c r="H204" s="36"/>
      <c r="I204" s="36"/>
      <c r="J204" s="36"/>
      <c r="K204" s="36"/>
      <c r="L204" s="85"/>
      <c r="M204" s="85"/>
      <c r="N204" s="1"/>
    </row>
    <row r="205" spans="1:14" hidden="1" x14ac:dyDescent="0.25">
      <c r="A205" s="45"/>
      <c r="B205" s="48" t="s">
        <v>99</v>
      </c>
      <c r="C205" s="36"/>
      <c r="D205" s="36"/>
      <c r="E205" s="36"/>
      <c r="F205" s="36"/>
      <c r="G205" s="36"/>
      <c r="H205" s="36"/>
      <c r="I205" s="36"/>
      <c r="J205" s="36"/>
      <c r="K205" s="36"/>
      <c r="L205" s="85"/>
      <c r="M205" s="85"/>
      <c r="N205" s="1"/>
    </row>
    <row r="206" spans="1:14" hidden="1" x14ac:dyDescent="0.25">
      <c r="A206" s="45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85"/>
      <c r="M206" s="85"/>
      <c r="N206" s="1"/>
    </row>
    <row r="207" spans="1:14" hidden="1" x14ac:dyDescent="0.25">
      <c r="A207" s="51" t="s">
        <v>427</v>
      </c>
      <c r="B207" s="48" t="s">
        <v>95</v>
      </c>
      <c r="C207" s="48" t="s">
        <v>1</v>
      </c>
      <c r="D207" s="48" t="s">
        <v>1</v>
      </c>
      <c r="E207" s="48" t="s">
        <v>1</v>
      </c>
      <c r="F207" s="48" t="s">
        <v>1</v>
      </c>
      <c r="G207" s="48" t="s">
        <v>1</v>
      </c>
      <c r="H207" s="48" t="s">
        <v>1</v>
      </c>
      <c r="I207" s="36"/>
      <c r="J207" s="36"/>
      <c r="K207" s="36"/>
      <c r="L207" s="85"/>
      <c r="M207" s="85"/>
      <c r="N207" s="1"/>
    </row>
    <row r="208" spans="1:14" ht="6.75" customHeight="1" x14ac:dyDescent="0.25">
      <c r="A208" s="1"/>
      <c r="B208" s="85"/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1"/>
    </row>
    <row r="209" spans="1:14" x14ac:dyDescent="0.25">
      <c r="A209" s="8" t="s">
        <v>517</v>
      </c>
      <c r="B209" s="85"/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1"/>
    </row>
    <row r="210" spans="1:14" ht="9" hidden="1" customHeight="1" x14ac:dyDescent="0.25">
      <c r="A210" s="1"/>
      <c r="B210" s="85"/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1"/>
    </row>
    <row r="211" spans="1:14" ht="24.75" hidden="1" customHeight="1" x14ac:dyDescent="0.25">
      <c r="A211" s="299" t="s">
        <v>451</v>
      </c>
      <c r="B211" s="307" t="s">
        <v>72</v>
      </c>
      <c r="C211" s="305" t="s">
        <v>63</v>
      </c>
      <c r="D211" s="305"/>
      <c r="E211" s="305"/>
      <c r="F211" s="331" t="s">
        <v>131</v>
      </c>
      <c r="G211" s="332"/>
      <c r="H211" s="339"/>
      <c r="I211" s="340" t="s">
        <v>132</v>
      </c>
      <c r="J211" s="342"/>
      <c r="K211" s="341"/>
      <c r="L211" s="105"/>
      <c r="M211" s="105"/>
      <c r="N211" s="1"/>
    </row>
    <row r="212" spans="1:14" ht="13.5" hidden="1" customHeight="1" x14ac:dyDescent="0.25">
      <c r="A212" s="299"/>
      <c r="B212" s="307"/>
      <c r="C212" s="202" t="s">
        <v>9</v>
      </c>
      <c r="D212" s="202" t="s">
        <v>399</v>
      </c>
      <c r="E212" s="202" t="s">
        <v>611</v>
      </c>
      <c r="F212" s="202" t="s">
        <v>9</v>
      </c>
      <c r="G212" s="202" t="s">
        <v>399</v>
      </c>
      <c r="H212" s="202" t="s">
        <v>611</v>
      </c>
      <c r="I212" s="202" t="s">
        <v>9</v>
      </c>
      <c r="J212" s="202" t="s">
        <v>399</v>
      </c>
      <c r="K212" s="202" t="s">
        <v>611</v>
      </c>
      <c r="L212" s="1"/>
      <c r="M212" s="1"/>
      <c r="N212" s="1"/>
    </row>
    <row r="213" spans="1:14" ht="39.75" hidden="1" customHeight="1" x14ac:dyDescent="0.25">
      <c r="A213" s="299"/>
      <c r="B213" s="307"/>
      <c r="C213" s="49" t="s">
        <v>44</v>
      </c>
      <c r="D213" s="49" t="s">
        <v>45</v>
      </c>
      <c r="E213" s="49" t="s">
        <v>46</v>
      </c>
      <c r="F213" s="152" t="s">
        <v>44</v>
      </c>
      <c r="G213" s="152" t="s">
        <v>45</v>
      </c>
      <c r="H213" s="152" t="s">
        <v>46</v>
      </c>
      <c r="I213" s="152" t="s">
        <v>44</v>
      </c>
      <c r="J213" s="152" t="s">
        <v>45</v>
      </c>
      <c r="K213" s="152" t="s">
        <v>46</v>
      </c>
      <c r="L213" s="1"/>
      <c r="M213" s="1"/>
      <c r="N213" s="1"/>
    </row>
    <row r="214" spans="1:14" hidden="1" x14ac:dyDescent="0.25">
      <c r="A214" s="51" t="s">
        <v>190</v>
      </c>
      <c r="B214" s="48" t="s">
        <v>73</v>
      </c>
      <c r="C214" s="48" t="s">
        <v>47</v>
      </c>
      <c r="D214" s="48" t="s">
        <v>48</v>
      </c>
      <c r="E214" s="48" t="s">
        <v>49</v>
      </c>
      <c r="F214" s="48" t="s">
        <v>52</v>
      </c>
      <c r="G214" s="48" t="s">
        <v>91</v>
      </c>
      <c r="H214" s="48" t="s">
        <v>92</v>
      </c>
      <c r="I214" s="48" t="s">
        <v>93</v>
      </c>
      <c r="J214" s="48" t="s">
        <v>94</v>
      </c>
      <c r="K214" s="158">
        <v>12</v>
      </c>
      <c r="L214" s="1"/>
      <c r="M214" s="1"/>
      <c r="N214" s="1"/>
    </row>
    <row r="215" spans="1:14" hidden="1" x14ac:dyDescent="0.25">
      <c r="A215" s="45" t="s">
        <v>184</v>
      </c>
      <c r="B215" s="48" t="s">
        <v>98</v>
      </c>
      <c r="C215" s="111">
        <v>0</v>
      </c>
      <c r="D215" s="111">
        <v>0</v>
      </c>
      <c r="E215" s="111">
        <v>0</v>
      </c>
      <c r="F215" s="111">
        <v>0</v>
      </c>
      <c r="G215" s="111">
        <v>0</v>
      </c>
      <c r="H215" s="111">
        <v>0</v>
      </c>
      <c r="I215" s="111"/>
      <c r="J215" s="111">
        <v>0</v>
      </c>
      <c r="K215" s="150">
        <v>0</v>
      </c>
      <c r="L215" s="1"/>
      <c r="M215" s="1"/>
      <c r="N215" s="1"/>
    </row>
    <row r="216" spans="1:14" hidden="1" x14ac:dyDescent="0.25">
      <c r="A216" s="51" t="s">
        <v>427</v>
      </c>
      <c r="B216" s="48" t="s">
        <v>95</v>
      </c>
      <c r="C216" s="111" t="s">
        <v>1</v>
      </c>
      <c r="D216" s="111" t="s">
        <v>1</v>
      </c>
      <c r="E216" s="111" t="s">
        <v>1</v>
      </c>
      <c r="F216" s="111" t="s">
        <v>1</v>
      </c>
      <c r="G216" s="111" t="s">
        <v>1</v>
      </c>
      <c r="H216" s="150" t="s">
        <v>1</v>
      </c>
      <c r="I216" s="30">
        <v>0</v>
      </c>
      <c r="J216" s="30"/>
      <c r="K216" s="30"/>
      <c r="L216" s="1"/>
      <c r="M216" s="1"/>
      <c r="N216" s="1"/>
    </row>
    <row r="217" spans="1:14" x14ac:dyDescent="0.25">
      <c r="A217" s="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</row>
  </sheetData>
  <mergeCells count="84">
    <mergeCell ref="F211:H211"/>
    <mergeCell ref="I211:K211"/>
    <mergeCell ref="I182:K182"/>
    <mergeCell ref="F200:H200"/>
    <mergeCell ref="A137:L137"/>
    <mergeCell ref="A150:L150"/>
    <mergeCell ref="F152:H152"/>
    <mergeCell ref="A191:A193"/>
    <mergeCell ref="B191:B193"/>
    <mergeCell ref="C191:E191"/>
    <mergeCell ref="A211:A213"/>
    <mergeCell ref="B211:B213"/>
    <mergeCell ref="L191:N191"/>
    <mergeCell ref="I191:K191"/>
    <mergeCell ref="F191:H191"/>
    <mergeCell ref="A152:A154"/>
    <mergeCell ref="A3:L3"/>
    <mergeCell ref="C20:C23"/>
    <mergeCell ref="D20:K20"/>
    <mergeCell ref="L59:L62"/>
    <mergeCell ref="D60:D62"/>
    <mergeCell ref="E60:K60"/>
    <mergeCell ref="E61:E62"/>
    <mergeCell ref="F61:F62"/>
    <mergeCell ref="G61:G62"/>
    <mergeCell ref="H61:I61"/>
    <mergeCell ref="A5:A7"/>
    <mergeCell ref="B5:B7"/>
    <mergeCell ref="C5:E5"/>
    <mergeCell ref="A20:A23"/>
    <mergeCell ref="B20:B23"/>
    <mergeCell ref="J61:K61"/>
    <mergeCell ref="D59:K59"/>
    <mergeCell ref="A59:A62"/>
    <mergeCell ref="B59:B62"/>
    <mergeCell ref="C59:C62"/>
    <mergeCell ref="L182:N182"/>
    <mergeCell ref="A98:A101"/>
    <mergeCell ref="B98:B101"/>
    <mergeCell ref="E99:K99"/>
    <mergeCell ref="E100:E101"/>
    <mergeCell ref="F100:F101"/>
    <mergeCell ref="G100:G101"/>
    <mergeCell ref="J100:K100"/>
    <mergeCell ref="D99:D101"/>
    <mergeCell ref="H100:I100"/>
    <mergeCell ref="F182:H182"/>
    <mergeCell ref="A139:A141"/>
    <mergeCell ref="B139:B141"/>
    <mergeCell ref="A182:A184"/>
    <mergeCell ref="B182:B184"/>
    <mergeCell ref="B173:B175"/>
    <mergeCell ref="C173:E173"/>
    <mergeCell ref="H173:J173"/>
    <mergeCell ref="F173:G173"/>
    <mergeCell ref="C93:K93"/>
    <mergeCell ref="C131:K131"/>
    <mergeCell ref="C132:K132"/>
    <mergeCell ref="L20:L23"/>
    <mergeCell ref="D21:D23"/>
    <mergeCell ref="E21:K21"/>
    <mergeCell ref="E22:E23"/>
    <mergeCell ref="F22:F23"/>
    <mergeCell ref="G22:G23"/>
    <mergeCell ref="H22:I22"/>
    <mergeCell ref="J22:K22"/>
    <mergeCell ref="L98:L101"/>
    <mergeCell ref="C92:K92"/>
    <mergeCell ref="C211:E211"/>
    <mergeCell ref="A200:A202"/>
    <mergeCell ref="B200:B202"/>
    <mergeCell ref="C200:E200"/>
    <mergeCell ref="C53:K53"/>
    <mergeCell ref="C54:K54"/>
    <mergeCell ref="C139:E139"/>
    <mergeCell ref="I200:K200"/>
    <mergeCell ref="C98:C101"/>
    <mergeCell ref="D98:K98"/>
    <mergeCell ref="A169:G169"/>
    <mergeCell ref="B152:B154"/>
    <mergeCell ref="C152:E152"/>
    <mergeCell ref="C182:E182"/>
    <mergeCell ref="A171:N171"/>
    <mergeCell ref="A173:A175"/>
  </mergeCells>
  <conditionalFormatting sqref="N55">
    <cfRule type="cellIs" dxfId="3" priority="1" operator="notEqual">
      <formula>0</formula>
    </cfRule>
    <cfRule type="cellIs" dxfId="2" priority="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rowBreaks count="5" manualBreakCount="5">
    <brk id="27" max="13" man="1"/>
    <brk id="56" max="13" man="1"/>
    <brk id="94" max="13" man="1"/>
    <brk id="133" max="13" man="1"/>
    <brk id="166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228"/>
  <sheetViews>
    <sheetView view="pageBreakPreview" topLeftCell="A25" zoomScaleSheetLayoutView="100" workbookViewId="0">
      <selection activeCell="M103" sqref="M103"/>
    </sheetView>
  </sheetViews>
  <sheetFormatPr defaultRowHeight="15.75" x14ac:dyDescent="0.25"/>
  <cols>
    <col min="1" max="1" width="28.140625" style="22" customWidth="1"/>
    <col min="2" max="2" width="6.42578125" style="22" customWidth="1"/>
    <col min="3" max="3" width="12.85546875" style="22" customWidth="1"/>
    <col min="4" max="4" width="12.5703125" style="22" customWidth="1"/>
    <col min="5" max="5" width="12" style="22" customWidth="1"/>
    <col min="6" max="7" width="12.85546875" style="22" customWidth="1"/>
    <col min="8" max="8" width="10.28515625" style="22" customWidth="1"/>
    <col min="9" max="9" width="11.7109375" style="22" customWidth="1"/>
    <col min="10" max="10" width="11" style="22" customWidth="1"/>
    <col min="11" max="11" width="11.85546875" style="22" customWidth="1"/>
    <col min="12" max="12" width="12.7109375" style="22" customWidth="1"/>
    <col min="13" max="13" width="10.5703125" style="22" customWidth="1"/>
    <col min="14" max="14" width="11.140625" style="22" customWidth="1"/>
    <col min="15" max="15" width="14.140625" style="22" customWidth="1"/>
    <col min="16" max="16384" width="9.140625" style="22"/>
  </cols>
  <sheetData>
    <row r="1" spans="1:23" s="1" customFormat="1" ht="16.5" customHeight="1" x14ac:dyDescent="0.25">
      <c r="A1" s="8" t="s">
        <v>510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11"/>
      <c r="P1" s="11"/>
      <c r="Q1" s="11"/>
      <c r="R1" s="11"/>
      <c r="S1" s="11"/>
      <c r="T1" s="11"/>
      <c r="U1" s="11"/>
      <c r="V1" s="11"/>
      <c r="W1" s="11"/>
    </row>
    <row r="2" spans="1:23" s="1" customFormat="1" x14ac:dyDescent="0.25"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11"/>
      <c r="P2" s="11"/>
      <c r="Q2" s="11"/>
      <c r="R2" s="11"/>
      <c r="S2" s="11"/>
      <c r="T2" s="11"/>
      <c r="U2" s="11"/>
      <c r="V2" s="11"/>
      <c r="W2" s="11"/>
    </row>
    <row r="3" spans="1:23" s="1" customFormat="1" ht="30" customHeight="1" x14ac:dyDescent="0.25">
      <c r="A3" s="310" t="s">
        <v>604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173"/>
      <c r="N3" s="172"/>
      <c r="O3" s="11"/>
      <c r="P3" s="11"/>
      <c r="Q3" s="11"/>
      <c r="R3" s="11"/>
      <c r="S3" s="11"/>
      <c r="T3" s="11"/>
      <c r="U3" s="11"/>
      <c r="V3" s="11"/>
      <c r="W3" s="11"/>
    </row>
    <row r="4" spans="1:23" s="1" customFormat="1" x14ac:dyDescent="0.25">
      <c r="A4" s="24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11"/>
      <c r="P4" s="11"/>
      <c r="Q4" s="11"/>
      <c r="R4" s="11"/>
      <c r="S4" s="11"/>
      <c r="T4" s="11"/>
      <c r="U4" s="11"/>
      <c r="V4" s="11"/>
      <c r="W4" s="11"/>
    </row>
    <row r="5" spans="1:23" s="1" customFormat="1" x14ac:dyDescent="0.25">
      <c r="A5" s="298" t="s">
        <v>193</v>
      </c>
      <c r="B5" s="269" t="s">
        <v>72</v>
      </c>
      <c r="C5" s="298" t="s">
        <v>43</v>
      </c>
      <c r="D5" s="298"/>
      <c r="E5" s="298"/>
      <c r="F5" s="85"/>
      <c r="G5" s="85"/>
      <c r="H5" s="85"/>
      <c r="I5" s="85"/>
      <c r="J5" s="85"/>
      <c r="K5" s="85"/>
      <c r="L5" s="85"/>
      <c r="M5" s="85"/>
      <c r="N5" s="85"/>
      <c r="O5" s="11"/>
      <c r="P5" s="11"/>
      <c r="Q5" s="11"/>
      <c r="R5" s="11"/>
      <c r="S5" s="11"/>
      <c r="T5" s="11"/>
      <c r="U5" s="11"/>
      <c r="V5" s="11"/>
      <c r="W5" s="11"/>
    </row>
    <row r="6" spans="1:23" s="1" customFormat="1" x14ac:dyDescent="0.25">
      <c r="A6" s="298"/>
      <c r="B6" s="269"/>
      <c r="C6" s="167" t="s">
        <v>399</v>
      </c>
      <c r="D6" s="167" t="s">
        <v>611</v>
      </c>
      <c r="E6" s="167" t="s">
        <v>650</v>
      </c>
      <c r="F6" s="85"/>
      <c r="G6" s="85"/>
      <c r="H6" s="85"/>
      <c r="I6" s="85"/>
      <c r="J6" s="85"/>
      <c r="K6" s="85"/>
      <c r="L6" s="85"/>
      <c r="M6" s="85"/>
      <c r="N6" s="85"/>
      <c r="O6" s="11"/>
      <c r="P6" s="11"/>
      <c r="Q6" s="11"/>
      <c r="R6" s="11"/>
      <c r="S6" s="11"/>
      <c r="T6" s="11"/>
      <c r="U6" s="11"/>
      <c r="V6" s="11"/>
      <c r="W6" s="11"/>
    </row>
    <row r="7" spans="1:23" s="1" customFormat="1" ht="38.25" x14ac:dyDescent="0.25">
      <c r="A7" s="298"/>
      <c r="B7" s="269"/>
      <c r="C7" s="165" t="s">
        <v>44</v>
      </c>
      <c r="D7" s="165" t="s">
        <v>45</v>
      </c>
      <c r="E7" s="165" t="s">
        <v>46</v>
      </c>
      <c r="F7" s="85"/>
      <c r="G7" s="85"/>
      <c r="H7" s="85"/>
      <c r="I7" s="85"/>
      <c r="J7" s="85"/>
      <c r="K7" s="85"/>
      <c r="L7" s="85"/>
      <c r="M7" s="85"/>
      <c r="N7" s="85"/>
      <c r="O7" s="11"/>
      <c r="P7" s="11"/>
      <c r="Q7" s="11"/>
      <c r="R7" s="11"/>
      <c r="S7" s="11"/>
      <c r="T7" s="11"/>
      <c r="U7" s="11"/>
      <c r="V7" s="11"/>
      <c r="W7" s="11"/>
    </row>
    <row r="8" spans="1:23" s="1" customFormat="1" x14ac:dyDescent="0.25">
      <c r="A8" s="167" t="s">
        <v>190</v>
      </c>
      <c r="B8" s="167" t="s">
        <v>73</v>
      </c>
      <c r="C8" s="167" t="s">
        <v>47</v>
      </c>
      <c r="D8" s="167" t="s">
        <v>48</v>
      </c>
      <c r="E8" s="167" t="s">
        <v>49</v>
      </c>
      <c r="F8" s="85"/>
      <c r="G8" s="85"/>
      <c r="H8" s="85"/>
      <c r="I8" s="85"/>
      <c r="J8" s="85"/>
      <c r="K8" s="85"/>
      <c r="L8" s="85"/>
      <c r="M8" s="85"/>
      <c r="N8" s="85"/>
      <c r="O8" s="11"/>
      <c r="P8" s="11"/>
      <c r="Q8" s="11"/>
      <c r="R8" s="11"/>
      <c r="S8" s="11"/>
      <c r="T8" s="11"/>
      <c r="U8" s="11"/>
      <c r="V8" s="11"/>
      <c r="W8" s="11"/>
    </row>
    <row r="9" spans="1:23" s="1" customFormat="1" ht="51" x14ac:dyDescent="0.25">
      <c r="A9" s="4" t="s">
        <v>194</v>
      </c>
      <c r="B9" s="167" t="s">
        <v>74</v>
      </c>
      <c r="C9" s="164">
        <v>0</v>
      </c>
      <c r="D9" s="164">
        <v>0</v>
      </c>
      <c r="E9" s="164">
        <v>0</v>
      </c>
      <c r="F9" s="85"/>
      <c r="G9" s="85"/>
      <c r="H9" s="85"/>
      <c r="I9" s="85"/>
      <c r="J9" s="85"/>
      <c r="K9" s="85"/>
      <c r="L9" s="85"/>
      <c r="M9" s="85"/>
      <c r="N9" s="85"/>
      <c r="O9" s="11"/>
      <c r="P9" s="11"/>
      <c r="Q9" s="11"/>
      <c r="R9" s="11"/>
      <c r="S9" s="11"/>
      <c r="T9" s="11"/>
      <c r="U9" s="11"/>
      <c r="V9" s="11"/>
      <c r="W9" s="11"/>
    </row>
    <row r="10" spans="1:23" s="1" customFormat="1" ht="51" x14ac:dyDescent="0.25">
      <c r="A10" s="4" t="s">
        <v>195</v>
      </c>
      <c r="B10" s="167" t="s">
        <v>75</v>
      </c>
      <c r="C10" s="164">
        <v>0</v>
      </c>
      <c r="D10" s="164">
        <v>0</v>
      </c>
      <c r="E10" s="164">
        <v>0</v>
      </c>
      <c r="F10" s="85"/>
      <c r="G10" s="85"/>
      <c r="H10" s="85"/>
      <c r="I10" s="85"/>
      <c r="J10" s="85"/>
      <c r="K10" s="85"/>
      <c r="L10" s="85"/>
      <c r="M10" s="85"/>
      <c r="N10" s="85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" customFormat="1" x14ac:dyDescent="0.25">
      <c r="A11" s="171" t="s">
        <v>196</v>
      </c>
      <c r="B11" s="167" t="s">
        <v>76</v>
      </c>
      <c r="C11" s="164">
        <f>L53</f>
        <v>1399999.9959461594</v>
      </c>
      <c r="D11" s="164">
        <f>L90</f>
        <v>1399999.9959461594</v>
      </c>
      <c r="E11" s="164">
        <f>L127</f>
        <v>1399999.9959461594</v>
      </c>
      <c r="F11" s="85"/>
      <c r="G11" s="85"/>
      <c r="H11" s="85"/>
      <c r="I11" s="85"/>
      <c r="J11" s="85"/>
      <c r="K11" s="85"/>
      <c r="L11" s="85"/>
      <c r="M11" s="85"/>
      <c r="N11" s="85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" customFormat="1" ht="51" x14ac:dyDescent="0.25">
      <c r="A12" s="4" t="s">
        <v>197</v>
      </c>
      <c r="B12" s="167" t="s">
        <v>86</v>
      </c>
      <c r="C12" s="164">
        <v>0</v>
      </c>
      <c r="D12" s="164">
        <v>0</v>
      </c>
      <c r="E12" s="164">
        <v>0</v>
      </c>
      <c r="F12" s="85"/>
      <c r="G12" s="85"/>
      <c r="H12" s="85"/>
      <c r="I12" s="85"/>
      <c r="J12" s="85"/>
      <c r="K12" s="85"/>
      <c r="L12" s="85"/>
      <c r="M12" s="85"/>
      <c r="N12" s="85"/>
      <c r="O12" s="11"/>
      <c r="P12" s="11"/>
      <c r="Q12" s="11"/>
      <c r="R12" s="11"/>
      <c r="S12" s="11"/>
      <c r="T12" s="11"/>
      <c r="U12" s="11"/>
      <c r="V12" s="11"/>
      <c r="W12" s="11"/>
    </row>
    <row r="13" spans="1:23" s="1" customFormat="1" ht="51" x14ac:dyDescent="0.25">
      <c r="A13" s="4" t="s">
        <v>198</v>
      </c>
      <c r="B13" s="167" t="s">
        <v>87</v>
      </c>
      <c r="C13" s="164">
        <v>0</v>
      </c>
      <c r="D13" s="164">
        <v>0</v>
      </c>
      <c r="E13" s="164">
        <v>0</v>
      </c>
      <c r="F13" s="85"/>
      <c r="G13" s="85"/>
      <c r="H13" s="85"/>
      <c r="I13" s="85"/>
      <c r="J13" s="85"/>
      <c r="K13" s="85"/>
      <c r="L13" s="85"/>
      <c r="M13" s="85"/>
      <c r="N13" s="85"/>
      <c r="O13" s="11"/>
      <c r="P13" s="11"/>
      <c r="Q13" s="11"/>
      <c r="R13" s="11"/>
      <c r="S13" s="11"/>
      <c r="T13" s="11"/>
      <c r="U13" s="11"/>
      <c r="V13" s="11"/>
      <c r="W13" s="11"/>
    </row>
    <row r="14" spans="1:23" s="1" customFormat="1" ht="38.25" x14ac:dyDescent="0.25">
      <c r="A14" s="4" t="s">
        <v>199</v>
      </c>
      <c r="B14" s="167" t="s">
        <v>88</v>
      </c>
      <c r="C14" s="30">
        <f>C11</f>
        <v>1399999.9959461594</v>
      </c>
      <c r="D14" s="30">
        <f t="shared" ref="D14:E14" si="0">D11</f>
        <v>1399999.9959461594</v>
      </c>
      <c r="E14" s="30">
        <f t="shared" si="0"/>
        <v>1399999.9959461594</v>
      </c>
      <c r="F14" s="85"/>
      <c r="G14" s="85"/>
      <c r="H14" s="85"/>
      <c r="I14" s="85"/>
      <c r="J14" s="85"/>
      <c r="K14" s="85"/>
      <c r="L14" s="85"/>
      <c r="M14" s="85"/>
      <c r="N14" s="85"/>
      <c r="O14" s="11"/>
      <c r="P14" s="11"/>
      <c r="Q14" s="11"/>
      <c r="R14" s="11"/>
      <c r="S14" s="11"/>
      <c r="T14" s="11"/>
      <c r="U14" s="11"/>
      <c r="V14" s="11"/>
      <c r="W14" s="11"/>
    </row>
    <row r="15" spans="1:23" s="1" customFormat="1" x14ac:dyDescent="0.25">
      <c r="A15" s="24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11"/>
      <c r="P15" s="11"/>
      <c r="Q15" s="11"/>
      <c r="R15" s="11"/>
      <c r="S15" s="11"/>
      <c r="T15" s="11"/>
      <c r="U15" s="11"/>
      <c r="V15" s="11"/>
      <c r="W15" s="11"/>
    </row>
    <row r="16" spans="1:23" s="1" customFormat="1" x14ac:dyDescent="0.25">
      <c r="A16" s="24" t="s">
        <v>452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11"/>
      <c r="P16" s="11"/>
      <c r="Q16" s="11"/>
      <c r="R16" s="11"/>
      <c r="S16" s="11"/>
      <c r="T16" s="11"/>
      <c r="U16" s="11"/>
      <c r="V16" s="11"/>
      <c r="W16" s="11"/>
    </row>
    <row r="17" spans="1:23" s="1" customFormat="1" ht="9.75" customHeight="1" x14ac:dyDescent="0.25">
      <c r="A17" s="24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11"/>
      <c r="P17" s="11"/>
      <c r="Q17" s="11"/>
      <c r="R17" s="11"/>
      <c r="S17" s="11"/>
      <c r="T17" s="11"/>
      <c r="U17" s="11"/>
      <c r="V17" s="11"/>
      <c r="W17" s="11"/>
    </row>
    <row r="18" spans="1:23" s="1" customFormat="1" x14ac:dyDescent="0.25">
      <c r="A18" s="1" t="s">
        <v>658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11"/>
      <c r="P18" s="11"/>
      <c r="Q18" s="11"/>
      <c r="R18" s="11"/>
      <c r="S18" s="11"/>
      <c r="T18" s="11"/>
      <c r="U18" s="11"/>
      <c r="V18" s="11"/>
      <c r="W18" s="11"/>
    </row>
    <row r="19" spans="1:23" s="1" customFormat="1" x14ac:dyDescent="0.25"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11"/>
      <c r="P19" s="11"/>
      <c r="Q19" s="11"/>
      <c r="R19" s="11"/>
      <c r="S19" s="11"/>
      <c r="T19" s="11"/>
      <c r="U19" s="11"/>
      <c r="V19" s="11"/>
      <c r="W19" s="11"/>
    </row>
    <row r="20" spans="1:23" s="1" customFormat="1" ht="15.75" customHeight="1" x14ac:dyDescent="0.25">
      <c r="A20" s="299" t="s">
        <v>339</v>
      </c>
      <c r="B20" s="308" t="s">
        <v>72</v>
      </c>
      <c r="C20" s="308" t="s">
        <v>57</v>
      </c>
      <c r="D20" s="275" t="s">
        <v>107</v>
      </c>
      <c r="E20" s="275"/>
      <c r="F20" s="275"/>
      <c r="G20" s="275"/>
      <c r="H20" s="275"/>
      <c r="I20" s="275"/>
      <c r="J20" s="275"/>
      <c r="K20" s="275"/>
      <c r="L20" s="307" t="s">
        <v>108</v>
      </c>
      <c r="M20" s="155"/>
      <c r="N20" s="85"/>
      <c r="O20" s="11"/>
      <c r="P20" s="11"/>
      <c r="Q20" s="11"/>
      <c r="R20" s="11"/>
      <c r="S20" s="11"/>
      <c r="T20" s="11"/>
      <c r="U20" s="11"/>
      <c r="V20" s="11"/>
      <c r="W20" s="11"/>
    </row>
    <row r="21" spans="1:23" s="1" customFormat="1" x14ac:dyDescent="0.25">
      <c r="A21" s="299"/>
      <c r="B21" s="308"/>
      <c r="C21" s="308"/>
      <c r="D21" s="307" t="s">
        <v>340</v>
      </c>
      <c r="E21" s="275" t="s">
        <v>109</v>
      </c>
      <c r="F21" s="275"/>
      <c r="G21" s="275"/>
      <c r="H21" s="275"/>
      <c r="I21" s="275"/>
      <c r="J21" s="275"/>
      <c r="K21" s="275"/>
      <c r="L21" s="307"/>
      <c r="M21" s="155"/>
      <c r="N21" s="85"/>
      <c r="O21" s="11"/>
      <c r="P21" s="11"/>
      <c r="Q21" s="11"/>
      <c r="R21" s="11"/>
      <c r="S21" s="11"/>
      <c r="T21" s="11"/>
      <c r="U21" s="11"/>
      <c r="V21" s="11"/>
      <c r="W21" s="11"/>
    </row>
    <row r="22" spans="1:23" s="1" customFormat="1" ht="25.5" customHeight="1" x14ac:dyDescent="0.25">
      <c r="A22" s="299"/>
      <c r="B22" s="308"/>
      <c r="C22" s="308"/>
      <c r="D22" s="307"/>
      <c r="E22" s="307" t="s">
        <v>58</v>
      </c>
      <c r="F22" s="307" t="s">
        <v>179</v>
      </c>
      <c r="G22" s="329" t="s">
        <v>555</v>
      </c>
      <c r="H22" s="308" t="s">
        <v>110</v>
      </c>
      <c r="I22" s="308"/>
      <c r="J22" s="308" t="s">
        <v>111</v>
      </c>
      <c r="K22" s="308"/>
      <c r="L22" s="307"/>
      <c r="M22" s="155"/>
      <c r="N22" s="85"/>
      <c r="O22" s="11"/>
      <c r="P22" s="11"/>
      <c r="Q22" s="11"/>
      <c r="R22" s="11"/>
      <c r="S22" s="11"/>
      <c r="T22" s="11"/>
      <c r="U22" s="11"/>
      <c r="V22" s="11"/>
      <c r="W22" s="11"/>
    </row>
    <row r="23" spans="1:23" s="1" customFormat="1" ht="47.25" customHeight="1" x14ac:dyDescent="0.25">
      <c r="A23" s="299"/>
      <c r="B23" s="308"/>
      <c r="C23" s="308"/>
      <c r="D23" s="307"/>
      <c r="E23" s="307"/>
      <c r="F23" s="307"/>
      <c r="G23" s="330"/>
      <c r="H23" s="168" t="s">
        <v>112</v>
      </c>
      <c r="I23" s="170" t="s">
        <v>113</v>
      </c>
      <c r="J23" s="168" t="s">
        <v>112</v>
      </c>
      <c r="K23" s="170" t="s">
        <v>114</v>
      </c>
      <c r="L23" s="307"/>
      <c r="M23" s="155"/>
      <c r="N23" s="85"/>
      <c r="O23" s="11"/>
      <c r="P23" s="11"/>
      <c r="Q23" s="11"/>
      <c r="R23" s="11"/>
      <c r="S23" s="11"/>
      <c r="T23" s="11"/>
      <c r="U23" s="11"/>
      <c r="V23" s="11"/>
      <c r="W23" s="11"/>
    </row>
    <row r="24" spans="1:23" s="1" customFormat="1" x14ac:dyDescent="0.25">
      <c r="A24" s="167" t="s">
        <v>190</v>
      </c>
      <c r="B24" s="164" t="s">
        <v>73</v>
      </c>
      <c r="C24" s="164" t="s">
        <v>47</v>
      </c>
      <c r="D24" s="164" t="s">
        <v>48</v>
      </c>
      <c r="E24" s="164" t="s">
        <v>49</v>
      </c>
      <c r="F24" s="164" t="s">
        <v>52</v>
      </c>
      <c r="G24" s="93">
        <v>7</v>
      </c>
      <c r="H24" s="93">
        <v>8</v>
      </c>
      <c r="I24" s="93">
        <v>9</v>
      </c>
      <c r="J24" s="93">
        <v>10</v>
      </c>
      <c r="K24" s="93">
        <v>11</v>
      </c>
      <c r="L24" s="93">
        <v>12</v>
      </c>
      <c r="M24" s="156"/>
      <c r="N24" s="85"/>
      <c r="O24" s="11"/>
      <c r="P24" s="11"/>
      <c r="Q24" s="11"/>
      <c r="R24" s="11"/>
      <c r="S24" s="11"/>
      <c r="T24" s="11"/>
      <c r="U24" s="11"/>
      <c r="V24" s="11"/>
      <c r="W24" s="11"/>
    </row>
    <row r="25" spans="1:23" s="1" customFormat="1" x14ac:dyDescent="0.25">
      <c r="A25" s="19" t="s">
        <v>557</v>
      </c>
      <c r="B25" s="198" t="s">
        <v>98</v>
      </c>
      <c r="C25" s="134">
        <v>1</v>
      </c>
      <c r="D25" s="198">
        <f>E25+F25+G25+I25+K25-11035.87</f>
        <v>27691.329999999994</v>
      </c>
      <c r="E25" s="198">
        <v>20170.419999999998</v>
      </c>
      <c r="F25" s="164">
        <f t="shared" ref="F25:F52" si="1">ROUND((E25*0.2),2)</f>
        <v>4034.08</v>
      </c>
      <c r="G25" s="164">
        <v>0</v>
      </c>
      <c r="H25" s="164">
        <v>30</v>
      </c>
      <c r="I25" s="164">
        <f t="shared" ref="I25:I52" si="2">(E25+F25+G25)*H25/100</f>
        <v>7261.35</v>
      </c>
      <c r="J25" s="164">
        <v>30</v>
      </c>
      <c r="K25" s="164">
        <f t="shared" ref="K25:K52" si="3">(E25+F25+G25)*J25/100</f>
        <v>7261.35</v>
      </c>
      <c r="L25" s="164">
        <f>C25*D25</f>
        <v>27691.329999999994</v>
      </c>
      <c r="M25" s="89"/>
      <c r="N25" s="85"/>
      <c r="O25" s="11"/>
      <c r="P25" s="11"/>
      <c r="Q25" s="11"/>
      <c r="R25" s="11"/>
      <c r="S25" s="11"/>
      <c r="T25" s="11"/>
      <c r="U25" s="11"/>
      <c r="V25" s="11"/>
      <c r="W25" s="11"/>
    </row>
    <row r="26" spans="1:23" s="1" customFormat="1" ht="25.5" x14ac:dyDescent="0.25">
      <c r="A26" s="19" t="s">
        <v>558</v>
      </c>
      <c r="B26" s="198" t="s">
        <v>99</v>
      </c>
      <c r="C26" s="134">
        <v>1</v>
      </c>
      <c r="D26" s="198">
        <f>E26+F26+G26+I26+K26-7212.29</f>
        <v>27642.205999999998</v>
      </c>
      <c r="E26" s="198">
        <v>18153.38</v>
      </c>
      <c r="F26" s="164">
        <f t="shared" si="1"/>
        <v>3630.68</v>
      </c>
      <c r="G26" s="164">
        <v>0</v>
      </c>
      <c r="H26" s="164">
        <v>30</v>
      </c>
      <c r="I26" s="164">
        <f t="shared" si="2"/>
        <v>6535.2180000000008</v>
      </c>
      <c r="J26" s="164">
        <v>30</v>
      </c>
      <c r="K26" s="164">
        <f t="shared" si="3"/>
        <v>6535.2180000000008</v>
      </c>
      <c r="L26" s="164">
        <f t="shared" ref="L26:L35" si="4">C26*D26</f>
        <v>27642.205999999998</v>
      </c>
      <c r="M26" s="89"/>
      <c r="N26" s="85"/>
      <c r="O26" s="11"/>
      <c r="P26" s="11"/>
      <c r="Q26" s="11"/>
      <c r="R26" s="11"/>
      <c r="S26" s="11"/>
      <c r="T26" s="11"/>
      <c r="U26" s="11"/>
      <c r="V26" s="11"/>
      <c r="W26" s="11"/>
    </row>
    <row r="27" spans="1:23" s="1" customFormat="1" ht="25.5" x14ac:dyDescent="0.25">
      <c r="A27" s="19" t="s">
        <v>578</v>
      </c>
      <c r="B27" s="198" t="s">
        <v>152</v>
      </c>
      <c r="C27" s="134">
        <v>0.5</v>
      </c>
      <c r="D27" s="198">
        <f>E27+F27+G27+I27+K27</f>
        <v>30273.5020128</v>
      </c>
      <c r="E27" s="134">
        <v>8067</v>
      </c>
      <c r="F27" s="164">
        <f t="shared" si="1"/>
        <v>1613.4</v>
      </c>
      <c r="G27" s="164">
        <f>E27*1.145474</f>
        <v>9240.5387580000006</v>
      </c>
      <c r="H27" s="164">
        <v>30</v>
      </c>
      <c r="I27" s="164">
        <f t="shared" si="2"/>
        <v>5676.2816274000006</v>
      </c>
      <c r="J27" s="164">
        <v>30</v>
      </c>
      <c r="K27" s="164">
        <f t="shared" si="3"/>
        <v>5676.2816274000006</v>
      </c>
      <c r="L27" s="164">
        <f t="shared" si="4"/>
        <v>15136.7510064</v>
      </c>
      <c r="M27" s="89"/>
      <c r="N27" s="85"/>
      <c r="O27" s="11"/>
      <c r="P27" s="11"/>
      <c r="Q27" s="11"/>
      <c r="R27" s="11"/>
      <c r="S27" s="11"/>
      <c r="T27" s="11"/>
      <c r="U27" s="11"/>
      <c r="V27" s="11"/>
      <c r="W27" s="11"/>
    </row>
    <row r="28" spans="1:23" s="1" customFormat="1" x14ac:dyDescent="0.25">
      <c r="A28" s="19" t="s">
        <v>579</v>
      </c>
      <c r="B28" s="198" t="s">
        <v>154</v>
      </c>
      <c r="C28" s="134">
        <v>0.25</v>
      </c>
      <c r="D28" s="198">
        <f>E28+F28+G28+I28+K28</f>
        <v>19691.73072</v>
      </c>
      <c r="E28" s="134">
        <v>4650</v>
      </c>
      <c r="F28" s="164">
        <f t="shared" si="1"/>
        <v>930</v>
      </c>
      <c r="G28" s="198">
        <f>E28*1.446738</f>
        <v>6727.3317000000006</v>
      </c>
      <c r="H28" s="164">
        <v>30</v>
      </c>
      <c r="I28" s="164">
        <f t="shared" si="2"/>
        <v>3692.1995099999999</v>
      </c>
      <c r="J28" s="164">
        <v>30</v>
      </c>
      <c r="K28" s="164">
        <f t="shared" si="3"/>
        <v>3692.1995099999999</v>
      </c>
      <c r="L28" s="164">
        <f>C28*D28*3</f>
        <v>14768.79804</v>
      </c>
      <c r="M28" s="89"/>
      <c r="N28" s="85"/>
      <c r="O28" s="11"/>
      <c r="P28" s="11"/>
      <c r="Q28" s="11"/>
      <c r="R28" s="11"/>
      <c r="S28" s="11"/>
      <c r="T28" s="11"/>
      <c r="U28" s="11"/>
      <c r="V28" s="11"/>
      <c r="W28" s="11"/>
    </row>
    <row r="29" spans="1:23" s="1" customFormat="1" x14ac:dyDescent="0.25">
      <c r="A29" s="19" t="s">
        <v>153</v>
      </c>
      <c r="B29" s="198" t="s">
        <v>155</v>
      </c>
      <c r="C29" s="134">
        <v>1.25</v>
      </c>
      <c r="D29" s="198">
        <f>E29+F29+G29+I29+K29</f>
        <v>8928</v>
      </c>
      <c r="E29" s="134">
        <v>4650</v>
      </c>
      <c r="F29" s="164">
        <f t="shared" si="1"/>
        <v>930</v>
      </c>
      <c r="G29" s="164">
        <v>0</v>
      </c>
      <c r="H29" s="164">
        <v>30</v>
      </c>
      <c r="I29" s="164">
        <f t="shared" si="2"/>
        <v>1674</v>
      </c>
      <c r="J29" s="164">
        <v>30</v>
      </c>
      <c r="K29" s="164">
        <f t="shared" si="3"/>
        <v>1674</v>
      </c>
      <c r="L29" s="164">
        <f>C29*D29*2-153.6</f>
        <v>22166.400000000001</v>
      </c>
      <c r="M29" s="89"/>
      <c r="N29" s="85"/>
      <c r="O29" s="11"/>
      <c r="P29" s="11"/>
      <c r="Q29" s="11"/>
      <c r="R29" s="11"/>
      <c r="S29" s="11"/>
      <c r="T29" s="11"/>
      <c r="U29" s="11"/>
      <c r="V29" s="11"/>
      <c r="W29" s="11"/>
    </row>
    <row r="30" spans="1:23" s="1" customFormat="1" x14ac:dyDescent="0.25">
      <c r="A30" s="19" t="s">
        <v>153</v>
      </c>
      <c r="B30" s="198" t="s">
        <v>156</v>
      </c>
      <c r="C30" s="134">
        <v>0.25</v>
      </c>
      <c r="D30" s="198">
        <f>E30+F30+G30+I30+K30</f>
        <v>17723.769624000004</v>
      </c>
      <c r="E30" s="134">
        <v>3813</v>
      </c>
      <c r="F30" s="164">
        <f t="shared" si="1"/>
        <v>762.6</v>
      </c>
      <c r="G30" s="198">
        <f>E30*1.705155</f>
        <v>6501.7560149999999</v>
      </c>
      <c r="H30" s="164">
        <v>30</v>
      </c>
      <c r="I30" s="164">
        <f t="shared" si="2"/>
        <v>3323.2068045000005</v>
      </c>
      <c r="J30" s="164">
        <v>30</v>
      </c>
      <c r="K30" s="164">
        <f t="shared" si="3"/>
        <v>3323.2068045000005</v>
      </c>
      <c r="L30" s="164">
        <f>C30*D30*5</f>
        <v>22154.712030000006</v>
      </c>
      <c r="M30" s="89"/>
      <c r="N30" s="85"/>
      <c r="O30" s="11"/>
      <c r="P30" s="11"/>
      <c r="Q30" s="11"/>
      <c r="R30" s="11"/>
      <c r="S30" s="11"/>
      <c r="T30" s="11"/>
      <c r="U30" s="11"/>
      <c r="V30" s="11"/>
      <c r="W30" s="11"/>
    </row>
    <row r="31" spans="1:23" s="1" customFormat="1" ht="15.75" customHeight="1" x14ac:dyDescent="0.25">
      <c r="A31" s="19" t="s">
        <v>556</v>
      </c>
      <c r="B31" s="198" t="s">
        <v>157</v>
      </c>
      <c r="C31" s="134">
        <v>0.5</v>
      </c>
      <c r="D31" s="198">
        <f t="shared" ref="D31:D52" si="5">E31+F31+G31+I31+K31</f>
        <v>29538.881731199996</v>
      </c>
      <c r="E31" s="134">
        <v>10874</v>
      </c>
      <c r="F31" s="164">
        <f t="shared" si="1"/>
        <v>2174.8000000000002</v>
      </c>
      <c r="G31" s="198">
        <f>E31*0.497793</f>
        <v>5413.0010819999998</v>
      </c>
      <c r="H31" s="164">
        <v>30</v>
      </c>
      <c r="I31" s="164">
        <f t="shared" si="2"/>
        <v>5538.5403245999987</v>
      </c>
      <c r="J31" s="164">
        <v>30</v>
      </c>
      <c r="K31" s="164">
        <f t="shared" si="3"/>
        <v>5538.5403245999987</v>
      </c>
      <c r="L31" s="164">
        <f t="shared" si="4"/>
        <v>14769.440865599998</v>
      </c>
      <c r="M31" s="89"/>
      <c r="N31" s="85"/>
      <c r="O31" s="11"/>
      <c r="P31" s="11"/>
      <c r="Q31" s="11"/>
      <c r="R31" s="11"/>
      <c r="S31" s="11"/>
      <c r="T31" s="11"/>
      <c r="U31" s="11"/>
      <c r="V31" s="11"/>
      <c r="W31" s="11"/>
    </row>
    <row r="32" spans="1:23" s="1" customFormat="1" x14ac:dyDescent="0.25">
      <c r="A32" s="19" t="s">
        <v>559</v>
      </c>
      <c r="B32" s="198" t="s">
        <v>158</v>
      </c>
      <c r="C32" s="134">
        <v>1</v>
      </c>
      <c r="D32" s="198">
        <f t="shared" si="5"/>
        <v>29538.618928000004</v>
      </c>
      <c r="E32" s="134">
        <v>14197</v>
      </c>
      <c r="F32" s="164">
        <f t="shared" si="1"/>
        <v>2839.4</v>
      </c>
      <c r="G32" s="198">
        <f>E32*0.10039</f>
        <v>1425.2368299999998</v>
      </c>
      <c r="H32" s="164">
        <v>30</v>
      </c>
      <c r="I32" s="164">
        <f t="shared" si="2"/>
        <v>5538.4910490000011</v>
      </c>
      <c r="J32" s="164">
        <v>30</v>
      </c>
      <c r="K32" s="164">
        <f t="shared" si="3"/>
        <v>5538.4910490000011</v>
      </c>
      <c r="L32" s="164">
        <f t="shared" si="4"/>
        <v>29538.618928000004</v>
      </c>
      <c r="M32" s="89"/>
      <c r="N32" s="85"/>
      <c r="O32" s="11"/>
      <c r="P32" s="11"/>
      <c r="Q32" s="11"/>
      <c r="R32" s="11"/>
      <c r="S32" s="11"/>
      <c r="T32" s="11"/>
      <c r="U32" s="11"/>
      <c r="V32" s="11"/>
      <c r="W32" s="11"/>
    </row>
    <row r="33" spans="1:23" s="1" customFormat="1" ht="25.5" x14ac:dyDescent="0.25">
      <c r="A33" s="19" t="s">
        <v>560</v>
      </c>
      <c r="B33" s="198" t="s">
        <v>159</v>
      </c>
      <c r="C33" s="134">
        <v>0.75</v>
      </c>
      <c r="D33" s="198">
        <f>E33+F33+G33+I33+K33</f>
        <v>39342.7264</v>
      </c>
      <c r="E33" s="134">
        <v>14197</v>
      </c>
      <c r="F33" s="164">
        <f t="shared" si="1"/>
        <v>2839.4</v>
      </c>
      <c r="G33" s="198">
        <f>E33*0.532</f>
        <v>7552.8040000000001</v>
      </c>
      <c r="H33" s="164">
        <v>30</v>
      </c>
      <c r="I33" s="164">
        <f t="shared" si="2"/>
        <v>7376.7611999999999</v>
      </c>
      <c r="J33" s="164">
        <v>30</v>
      </c>
      <c r="K33" s="164">
        <f t="shared" si="3"/>
        <v>7376.7611999999999</v>
      </c>
      <c r="L33" s="164">
        <f>C33*D33+29.08</f>
        <v>29536.124800000001</v>
      </c>
      <c r="M33" s="89"/>
      <c r="N33" s="85"/>
      <c r="O33" s="11"/>
      <c r="P33" s="11"/>
      <c r="Q33" s="11"/>
      <c r="R33" s="11"/>
      <c r="S33" s="11"/>
      <c r="T33" s="11"/>
      <c r="U33" s="11"/>
      <c r="V33" s="11"/>
      <c r="W33" s="11"/>
    </row>
    <row r="34" spans="1:23" s="1" customFormat="1" ht="25.5" x14ac:dyDescent="0.25">
      <c r="A34" s="19" t="s">
        <v>561</v>
      </c>
      <c r="B34" s="198" t="s">
        <v>160</v>
      </c>
      <c r="C34" s="134">
        <v>0.5</v>
      </c>
      <c r="D34" s="198">
        <f t="shared" si="5"/>
        <v>29529.760000000006</v>
      </c>
      <c r="E34" s="134">
        <v>14197</v>
      </c>
      <c r="F34" s="164">
        <f t="shared" si="1"/>
        <v>2839.4</v>
      </c>
      <c r="G34" s="198">
        <f>E34*0.1</f>
        <v>1419.7</v>
      </c>
      <c r="H34" s="164">
        <v>30</v>
      </c>
      <c r="I34" s="164">
        <f t="shared" si="2"/>
        <v>5536.8300000000008</v>
      </c>
      <c r="J34" s="164">
        <v>30</v>
      </c>
      <c r="K34" s="164">
        <f t="shared" si="3"/>
        <v>5536.8300000000008</v>
      </c>
      <c r="L34" s="164">
        <f>C34*D34+4.08</f>
        <v>14768.960000000003</v>
      </c>
      <c r="M34" s="89"/>
      <c r="N34" s="85"/>
      <c r="O34" s="11"/>
      <c r="P34" s="11"/>
      <c r="Q34" s="11"/>
      <c r="R34" s="11"/>
      <c r="S34" s="11"/>
      <c r="T34" s="11"/>
      <c r="U34" s="11"/>
      <c r="V34" s="11"/>
      <c r="W34" s="11"/>
    </row>
    <row r="35" spans="1:23" s="1" customFormat="1" x14ac:dyDescent="0.25">
      <c r="A35" s="19" t="s">
        <v>600</v>
      </c>
      <c r="B35" s="198" t="s">
        <v>161</v>
      </c>
      <c r="C35" s="134">
        <v>1</v>
      </c>
      <c r="D35" s="198">
        <f>E35+F35+G35+I35+K35-12424.96</f>
        <v>8453.119999999999</v>
      </c>
      <c r="E35" s="134">
        <v>10874</v>
      </c>
      <c r="F35" s="164">
        <f t="shared" si="1"/>
        <v>2174.8000000000002</v>
      </c>
      <c r="G35" s="164">
        <v>0</v>
      </c>
      <c r="H35" s="164">
        <v>30</v>
      </c>
      <c r="I35" s="164">
        <f t="shared" si="2"/>
        <v>3914.64</v>
      </c>
      <c r="J35" s="164">
        <v>30</v>
      </c>
      <c r="K35" s="164">
        <f t="shared" si="3"/>
        <v>3914.64</v>
      </c>
      <c r="L35" s="164">
        <f t="shared" si="4"/>
        <v>8453.119999999999</v>
      </c>
      <c r="M35" s="89"/>
      <c r="N35" s="85"/>
      <c r="O35" s="11"/>
      <c r="P35" s="11"/>
      <c r="Q35" s="11"/>
      <c r="R35" s="11"/>
      <c r="S35" s="11"/>
      <c r="T35" s="11"/>
      <c r="U35" s="11"/>
      <c r="V35" s="11"/>
      <c r="W35" s="11"/>
    </row>
    <row r="36" spans="1:23" s="1" customFormat="1" x14ac:dyDescent="0.25">
      <c r="A36" s="19" t="s">
        <v>562</v>
      </c>
      <c r="B36" s="198" t="s">
        <v>162</v>
      </c>
      <c r="C36" s="134">
        <v>0.75</v>
      </c>
      <c r="D36" s="198">
        <f t="shared" si="5"/>
        <v>20878.239999999998</v>
      </c>
      <c r="E36" s="134">
        <v>10874</v>
      </c>
      <c r="F36" s="164">
        <f t="shared" si="1"/>
        <v>2174.8000000000002</v>
      </c>
      <c r="G36" s="198">
        <v>0.1</v>
      </c>
      <c r="H36" s="164">
        <v>30</v>
      </c>
      <c r="I36" s="164">
        <f t="shared" si="2"/>
        <v>3914.67</v>
      </c>
      <c r="J36" s="164">
        <v>30</v>
      </c>
      <c r="K36" s="164">
        <f t="shared" si="3"/>
        <v>3914.67</v>
      </c>
      <c r="L36" s="164">
        <f>C36*D36+44.74</f>
        <v>15703.419999999998</v>
      </c>
      <c r="M36" s="89"/>
      <c r="N36" s="85"/>
      <c r="O36" s="11"/>
      <c r="P36" s="11"/>
      <c r="Q36" s="11"/>
      <c r="R36" s="11"/>
      <c r="S36" s="11"/>
      <c r="T36" s="11"/>
      <c r="U36" s="11"/>
      <c r="V36" s="11"/>
      <c r="W36" s="11"/>
    </row>
    <row r="37" spans="1:23" s="1" customFormat="1" x14ac:dyDescent="0.25">
      <c r="A37" s="19" t="s">
        <v>563</v>
      </c>
      <c r="B37" s="198" t="s">
        <v>163</v>
      </c>
      <c r="C37" s="134">
        <v>1</v>
      </c>
      <c r="D37" s="198">
        <f t="shared" si="5"/>
        <v>22617.919999999998</v>
      </c>
      <c r="E37" s="134">
        <v>10874</v>
      </c>
      <c r="F37" s="164">
        <f t="shared" si="1"/>
        <v>2174.8000000000002</v>
      </c>
      <c r="G37" s="198">
        <f>E37*0.1</f>
        <v>1087.4000000000001</v>
      </c>
      <c r="H37" s="164">
        <v>30</v>
      </c>
      <c r="I37" s="164">
        <f t="shared" si="2"/>
        <v>4240.8599999999997</v>
      </c>
      <c r="J37" s="164">
        <v>30</v>
      </c>
      <c r="K37" s="164">
        <f t="shared" si="3"/>
        <v>4240.8599999999997</v>
      </c>
      <c r="L37" s="164">
        <f>C37*D37+107.17</f>
        <v>22725.089999999997</v>
      </c>
      <c r="M37" s="89"/>
      <c r="N37" s="85"/>
      <c r="O37" s="11"/>
      <c r="P37" s="11"/>
      <c r="Q37" s="11"/>
      <c r="R37" s="11"/>
      <c r="S37" s="11"/>
      <c r="T37" s="11"/>
      <c r="U37" s="11"/>
      <c r="V37" s="11"/>
      <c r="W37" s="11"/>
    </row>
    <row r="38" spans="1:23" s="1" customFormat="1" ht="15.75" customHeight="1" x14ac:dyDescent="0.25">
      <c r="A38" s="19" t="s">
        <v>601</v>
      </c>
      <c r="B38" s="198" t="s">
        <v>164</v>
      </c>
      <c r="C38" s="134">
        <v>1</v>
      </c>
      <c r="D38" s="198">
        <f t="shared" si="5"/>
        <v>16779.36</v>
      </c>
      <c r="E38" s="134">
        <v>8067</v>
      </c>
      <c r="F38" s="164">
        <f t="shared" si="1"/>
        <v>1613.4</v>
      </c>
      <c r="G38" s="198">
        <f>E38*0.1</f>
        <v>806.7</v>
      </c>
      <c r="H38" s="164">
        <v>30</v>
      </c>
      <c r="I38" s="164">
        <f t="shared" si="2"/>
        <v>3146.13</v>
      </c>
      <c r="J38" s="164">
        <v>30</v>
      </c>
      <c r="K38" s="164">
        <f t="shared" si="3"/>
        <v>3146.13</v>
      </c>
      <c r="L38" s="164">
        <f>C38*D38-135.04</f>
        <v>16644.32</v>
      </c>
      <c r="M38" s="89"/>
      <c r="N38" s="85"/>
      <c r="O38" s="11"/>
      <c r="P38" s="11"/>
      <c r="Q38" s="11"/>
      <c r="R38" s="11"/>
      <c r="S38" s="11"/>
      <c r="T38" s="11"/>
      <c r="U38" s="11"/>
      <c r="V38" s="11"/>
      <c r="W38" s="11"/>
    </row>
    <row r="39" spans="1:23" s="1" customFormat="1" x14ac:dyDescent="0.25">
      <c r="A39" s="19" t="s">
        <v>564</v>
      </c>
      <c r="B39" s="198" t="s">
        <v>165</v>
      </c>
      <c r="C39" s="134">
        <v>0.75</v>
      </c>
      <c r="D39" s="198">
        <f t="shared" si="5"/>
        <v>16779.36</v>
      </c>
      <c r="E39" s="134">
        <v>8067</v>
      </c>
      <c r="F39" s="164">
        <f t="shared" si="1"/>
        <v>1613.4</v>
      </c>
      <c r="G39" s="198">
        <f>E39*0.1</f>
        <v>806.7</v>
      </c>
      <c r="H39" s="164">
        <v>30</v>
      </c>
      <c r="I39" s="164">
        <f t="shared" si="2"/>
        <v>3146.13</v>
      </c>
      <c r="J39" s="164">
        <v>30</v>
      </c>
      <c r="K39" s="164">
        <f t="shared" si="3"/>
        <v>3146.13</v>
      </c>
      <c r="L39" s="164">
        <f>C39*D39*2-75.62</f>
        <v>25093.420000000002</v>
      </c>
      <c r="M39" s="89"/>
      <c r="N39" s="85"/>
      <c r="O39" s="11"/>
      <c r="P39" s="11"/>
      <c r="Q39" s="11"/>
      <c r="R39" s="11"/>
      <c r="S39" s="11"/>
      <c r="T39" s="11"/>
      <c r="U39" s="11"/>
      <c r="V39" s="11"/>
      <c r="W39" s="11"/>
    </row>
    <row r="40" spans="1:23" s="1" customFormat="1" ht="25.5" x14ac:dyDescent="0.25">
      <c r="A40" s="19" t="s">
        <v>565</v>
      </c>
      <c r="B40" s="198" t="s">
        <v>166</v>
      </c>
      <c r="C40" s="134">
        <v>5</v>
      </c>
      <c r="D40" s="198">
        <f t="shared" si="5"/>
        <v>23532.774151743997</v>
      </c>
      <c r="E40" s="134">
        <v>10874</v>
      </c>
      <c r="F40" s="164">
        <f t="shared" si="1"/>
        <v>2174.8000000000002</v>
      </c>
      <c r="G40" s="198">
        <f>E40*0.15258266</f>
        <v>1659.1838448400001</v>
      </c>
      <c r="H40" s="164">
        <v>30</v>
      </c>
      <c r="I40" s="164">
        <f t="shared" si="2"/>
        <v>4412.3951534519992</v>
      </c>
      <c r="J40" s="164">
        <v>30</v>
      </c>
      <c r="K40" s="164">
        <f t="shared" si="3"/>
        <v>4412.3951534519992</v>
      </c>
      <c r="L40" s="164">
        <f>C40*D40*3-356.8</f>
        <v>352634.81227616</v>
      </c>
      <c r="M40" s="89"/>
      <c r="N40" s="85"/>
      <c r="O40" s="11"/>
      <c r="P40" s="11"/>
      <c r="Q40" s="11"/>
      <c r="R40" s="11"/>
      <c r="S40" s="11"/>
      <c r="T40" s="11"/>
      <c r="U40" s="11"/>
      <c r="V40" s="11"/>
      <c r="W40" s="11"/>
    </row>
    <row r="41" spans="1:23" s="1" customFormat="1" ht="25.5" x14ac:dyDescent="0.25">
      <c r="A41" s="19" t="s">
        <v>566</v>
      </c>
      <c r="B41" s="198" t="s">
        <v>167</v>
      </c>
      <c r="C41" s="134">
        <v>5</v>
      </c>
      <c r="D41" s="198">
        <f t="shared" si="5"/>
        <v>24357.759999999995</v>
      </c>
      <c r="E41" s="134">
        <v>10874</v>
      </c>
      <c r="F41" s="164">
        <f t="shared" si="1"/>
        <v>2174.8000000000002</v>
      </c>
      <c r="G41" s="198">
        <f>E41*0.2</f>
        <v>2174.8000000000002</v>
      </c>
      <c r="H41" s="164">
        <v>30</v>
      </c>
      <c r="I41" s="164">
        <f t="shared" si="2"/>
        <v>4567.079999999999</v>
      </c>
      <c r="J41" s="164">
        <v>30</v>
      </c>
      <c r="K41" s="164">
        <f t="shared" si="3"/>
        <v>4567.079999999999</v>
      </c>
      <c r="L41" s="164">
        <f>C41*D41*3-356.8</f>
        <v>365009.59999999992</v>
      </c>
      <c r="M41" s="89"/>
      <c r="N41" s="85"/>
      <c r="O41" s="11"/>
      <c r="P41" s="11"/>
      <c r="Q41" s="11"/>
      <c r="R41" s="11"/>
      <c r="S41" s="11"/>
      <c r="T41" s="11"/>
      <c r="U41" s="11"/>
      <c r="V41" s="11"/>
      <c r="W41" s="11"/>
    </row>
    <row r="42" spans="1:23" s="1" customFormat="1" ht="25.5" x14ac:dyDescent="0.25">
      <c r="A42" s="19" t="s">
        <v>567</v>
      </c>
      <c r="B42" s="198" t="s">
        <v>168</v>
      </c>
      <c r="C42" s="134">
        <v>2</v>
      </c>
      <c r="D42" s="198">
        <f t="shared" si="5"/>
        <v>13542.335999999999</v>
      </c>
      <c r="E42" s="134">
        <v>5532</v>
      </c>
      <c r="F42" s="164">
        <f t="shared" si="1"/>
        <v>1106.4000000000001</v>
      </c>
      <c r="G42" s="198">
        <f>E42*0.33</f>
        <v>1825.5600000000002</v>
      </c>
      <c r="H42" s="164">
        <v>30</v>
      </c>
      <c r="I42" s="164">
        <f t="shared" si="2"/>
        <v>2539.1880000000001</v>
      </c>
      <c r="J42" s="164">
        <v>30</v>
      </c>
      <c r="K42" s="164">
        <f t="shared" si="3"/>
        <v>2539.1880000000001</v>
      </c>
      <c r="L42" s="164">
        <f>C42*D42*6+180.66</f>
        <v>162688.69200000001</v>
      </c>
      <c r="M42" s="89"/>
      <c r="N42" s="85"/>
      <c r="O42" s="11"/>
      <c r="P42" s="11"/>
      <c r="Q42" s="11"/>
      <c r="R42" s="11"/>
      <c r="S42" s="11"/>
      <c r="T42" s="11"/>
      <c r="U42" s="11"/>
      <c r="V42" s="11"/>
      <c r="W42" s="11"/>
    </row>
    <row r="43" spans="1:23" s="1" customFormat="1" ht="25.5" x14ac:dyDescent="0.25">
      <c r="A43" s="19" t="s">
        <v>568</v>
      </c>
      <c r="B43" s="198" t="s">
        <v>169</v>
      </c>
      <c r="C43" s="134">
        <v>1</v>
      </c>
      <c r="D43" s="198">
        <f t="shared" si="5"/>
        <v>24357.759999999995</v>
      </c>
      <c r="E43" s="134">
        <v>10874</v>
      </c>
      <c r="F43" s="164">
        <f t="shared" si="1"/>
        <v>2174.8000000000002</v>
      </c>
      <c r="G43" s="164">
        <f t="shared" ref="G43:G48" si="6">E43*0.2</f>
        <v>2174.8000000000002</v>
      </c>
      <c r="H43" s="164">
        <v>30</v>
      </c>
      <c r="I43" s="164">
        <f t="shared" si="2"/>
        <v>4567.079999999999</v>
      </c>
      <c r="J43" s="164">
        <v>30</v>
      </c>
      <c r="K43" s="164">
        <f t="shared" si="3"/>
        <v>4567.079999999999</v>
      </c>
      <c r="L43" s="164">
        <f>C43*D43-35.36</f>
        <v>24322.399999999994</v>
      </c>
      <c r="M43" s="89"/>
      <c r="N43" s="85"/>
      <c r="O43" s="11"/>
      <c r="P43" s="11"/>
      <c r="Q43" s="11"/>
      <c r="R43" s="11"/>
      <c r="S43" s="11"/>
      <c r="T43" s="11"/>
      <c r="U43" s="11"/>
      <c r="V43" s="11"/>
      <c r="W43" s="11"/>
    </row>
    <row r="44" spans="1:23" s="1" customFormat="1" x14ac:dyDescent="0.25">
      <c r="A44" s="19" t="s">
        <v>569</v>
      </c>
      <c r="B44" s="198" t="s">
        <v>170</v>
      </c>
      <c r="C44" s="134">
        <v>1</v>
      </c>
      <c r="D44" s="198">
        <f t="shared" si="5"/>
        <v>24357.759999999995</v>
      </c>
      <c r="E44" s="134">
        <v>10874</v>
      </c>
      <c r="F44" s="164">
        <f t="shared" si="1"/>
        <v>2174.8000000000002</v>
      </c>
      <c r="G44" s="248">
        <f t="shared" si="6"/>
        <v>2174.8000000000002</v>
      </c>
      <c r="H44" s="164">
        <v>30</v>
      </c>
      <c r="I44" s="164">
        <f t="shared" si="2"/>
        <v>4567.079999999999</v>
      </c>
      <c r="J44" s="164">
        <v>30</v>
      </c>
      <c r="K44" s="164">
        <f t="shared" si="3"/>
        <v>4567.079999999999</v>
      </c>
      <c r="L44" s="164">
        <f>C44*D44-35.36</f>
        <v>24322.399999999994</v>
      </c>
      <c r="M44" s="89"/>
      <c r="N44" s="85"/>
      <c r="O44" s="11"/>
      <c r="P44" s="11"/>
      <c r="Q44" s="11"/>
      <c r="R44" s="11"/>
      <c r="S44" s="11"/>
      <c r="T44" s="11"/>
      <c r="U44" s="11"/>
      <c r="V44" s="11"/>
      <c r="W44" s="11"/>
    </row>
    <row r="45" spans="1:23" s="1" customFormat="1" x14ac:dyDescent="0.25">
      <c r="A45" s="19" t="s">
        <v>570</v>
      </c>
      <c r="B45" s="198" t="s">
        <v>171</v>
      </c>
      <c r="C45" s="134">
        <v>1</v>
      </c>
      <c r="D45" s="198">
        <f t="shared" si="5"/>
        <v>24357.759999999995</v>
      </c>
      <c r="E45" s="134">
        <v>10874</v>
      </c>
      <c r="F45" s="164">
        <f t="shared" si="1"/>
        <v>2174.8000000000002</v>
      </c>
      <c r="G45" s="248">
        <f t="shared" si="6"/>
        <v>2174.8000000000002</v>
      </c>
      <c r="H45" s="164">
        <v>30</v>
      </c>
      <c r="I45" s="164">
        <f t="shared" si="2"/>
        <v>4567.079999999999</v>
      </c>
      <c r="J45" s="164">
        <v>30</v>
      </c>
      <c r="K45" s="164">
        <f t="shared" si="3"/>
        <v>4567.079999999999</v>
      </c>
      <c r="L45" s="164">
        <f>C45*D45-35.36</f>
        <v>24322.399999999994</v>
      </c>
      <c r="M45" s="89"/>
      <c r="N45" s="85"/>
      <c r="O45" s="11"/>
      <c r="P45" s="11"/>
      <c r="Q45" s="11"/>
      <c r="R45" s="11"/>
      <c r="S45" s="11"/>
      <c r="T45" s="11"/>
      <c r="U45" s="11"/>
      <c r="V45" s="11"/>
      <c r="W45" s="11"/>
    </row>
    <row r="46" spans="1:23" s="1" customFormat="1" x14ac:dyDescent="0.25">
      <c r="A46" s="19" t="s">
        <v>571</v>
      </c>
      <c r="B46" s="198" t="s">
        <v>172</v>
      </c>
      <c r="C46" s="134">
        <v>0.5</v>
      </c>
      <c r="D46" s="198">
        <f t="shared" si="5"/>
        <v>24357.759999999995</v>
      </c>
      <c r="E46" s="134">
        <v>10874</v>
      </c>
      <c r="F46" s="164">
        <f t="shared" si="1"/>
        <v>2174.8000000000002</v>
      </c>
      <c r="G46" s="248">
        <f t="shared" si="6"/>
        <v>2174.8000000000002</v>
      </c>
      <c r="H46" s="164">
        <v>30</v>
      </c>
      <c r="I46" s="164">
        <f t="shared" si="2"/>
        <v>4567.079999999999</v>
      </c>
      <c r="J46" s="164">
        <v>30</v>
      </c>
      <c r="K46" s="164">
        <f t="shared" si="3"/>
        <v>4567.079999999999</v>
      </c>
      <c r="L46" s="164">
        <f>C46*D46-17.68</f>
        <v>12161.199999999997</v>
      </c>
      <c r="M46" s="89"/>
      <c r="N46" s="85"/>
      <c r="O46" s="11"/>
      <c r="P46" s="11"/>
      <c r="Q46" s="11"/>
      <c r="R46" s="11"/>
      <c r="S46" s="11"/>
      <c r="T46" s="11"/>
      <c r="U46" s="11"/>
      <c r="V46" s="11"/>
      <c r="W46" s="11"/>
    </row>
    <row r="47" spans="1:23" s="1" customFormat="1" x14ac:dyDescent="0.25">
      <c r="A47" s="19" t="s">
        <v>572</v>
      </c>
      <c r="B47" s="198" t="s">
        <v>173</v>
      </c>
      <c r="C47" s="134">
        <v>1</v>
      </c>
      <c r="D47" s="198">
        <f t="shared" si="5"/>
        <v>24357.759999999995</v>
      </c>
      <c r="E47" s="134">
        <v>10874</v>
      </c>
      <c r="F47" s="164">
        <f t="shared" si="1"/>
        <v>2174.8000000000002</v>
      </c>
      <c r="G47" s="248">
        <f t="shared" si="6"/>
        <v>2174.8000000000002</v>
      </c>
      <c r="H47" s="164">
        <v>30</v>
      </c>
      <c r="I47" s="164">
        <f t="shared" si="2"/>
        <v>4567.079999999999</v>
      </c>
      <c r="J47" s="164">
        <v>30</v>
      </c>
      <c r="K47" s="164">
        <f t="shared" si="3"/>
        <v>4567.079999999999</v>
      </c>
      <c r="L47" s="164">
        <f>C47*D47*1-35.36</f>
        <v>24322.399999999994</v>
      </c>
      <c r="M47" s="89"/>
      <c r="N47" s="85"/>
      <c r="O47" s="11"/>
      <c r="P47" s="11"/>
      <c r="Q47" s="11"/>
      <c r="R47" s="11"/>
      <c r="S47" s="11"/>
      <c r="T47" s="11"/>
      <c r="U47" s="11"/>
      <c r="V47" s="11"/>
      <c r="W47" s="11"/>
    </row>
    <row r="48" spans="1:23" s="1" customFormat="1" x14ac:dyDescent="0.25">
      <c r="A48" s="19" t="s">
        <v>573</v>
      </c>
      <c r="B48" s="198" t="s">
        <v>174</v>
      </c>
      <c r="C48" s="134">
        <v>1</v>
      </c>
      <c r="D48" s="198">
        <f t="shared" si="5"/>
        <v>24357.759999999995</v>
      </c>
      <c r="E48" s="134">
        <v>10874</v>
      </c>
      <c r="F48" s="164">
        <f t="shared" si="1"/>
        <v>2174.8000000000002</v>
      </c>
      <c r="G48" s="248">
        <f t="shared" si="6"/>
        <v>2174.8000000000002</v>
      </c>
      <c r="H48" s="164">
        <v>30</v>
      </c>
      <c r="I48" s="164">
        <f t="shared" si="2"/>
        <v>4567.079999999999</v>
      </c>
      <c r="J48" s="164">
        <v>30</v>
      </c>
      <c r="K48" s="164">
        <f t="shared" si="3"/>
        <v>4567.079999999999</v>
      </c>
      <c r="L48" s="164">
        <f>C48*D48-35.36</f>
        <v>24322.399999999994</v>
      </c>
      <c r="M48" s="89"/>
      <c r="N48" s="85"/>
      <c r="O48" s="11"/>
      <c r="P48" s="11"/>
      <c r="Q48" s="11"/>
      <c r="R48" s="11"/>
      <c r="S48" s="11"/>
      <c r="T48" s="11"/>
      <c r="U48" s="11"/>
      <c r="V48" s="11"/>
      <c r="W48" s="11"/>
    </row>
    <row r="49" spans="1:23" s="1" customFormat="1" x14ac:dyDescent="0.25">
      <c r="A49" s="19" t="s">
        <v>574</v>
      </c>
      <c r="B49" s="198" t="s">
        <v>175</v>
      </c>
      <c r="C49" s="134">
        <v>1</v>
      </c>
      <c r="D49" s="198">
        <f t="shared" si="5"/>
        <v>29529.760000000006</v>
      </c>
      <c r="E49" s="134">
        <v>14197</v>
      </c>
      <c r="F49" s="198">
        <f t="shared" si="1"/>
        <v>2839.4</v>
      </c>
      <c r="G49" s="198">
        <f t="shared" ref="G49" si="7">E49*0.1</f>
        <v>1419.7</v>
      </c>
      <c r="H49" s="198">
        <v>30</v>
      </c>
      <c r="I49" s="198">
        <f t="shared" si="2"/>
        <v>5536.8300000000008</v>
      </c>
      <c r="J49" s="198">
        <v>30</v>
      </c>
      <c r="K49" s="198">
        <f t="shared" si="3"/>
        <v>5536.8300000000008</v>
      </c>
      <c r="L49" s="198">
        <f>C49*D49+8.16</f>
        <v>29537.920000000006</v>
      </c>
      <c r="M49" s="89"/>
      <c r="N49" s="85"/>
      <c r="O49" s="11"/>
      <c r="P49" s="11"/>
      <c r="Q49" s="11"/>
      <c r="R49" s="11"/>
      <c r="S49" s="11"/>
      <c r="T49" s="11"/>
      <c r="U49" s="11"/>
      <c r="V49" s="11"/>
      <c r="W49" s="11"/>
    </row>
    <row r="50" spans="1:23" s="1" customFormat="1" x14ac:dyDescent="0.25">
      <c r="A50" s="19" t="s">
        <v>575</v>
      </c>
      <c r="B50" s="198" t="s">
        <v>176</v>
      </c>
      <c r="C50" s="134">
        <v>0.25</v>
      </c>
      <c r="D50" s="198">
        <f t="shared" si="5"/>
        <v>11685.440000000002</v>
      </c>
      <c r="E50" s="134">
        <v>5618</v>
      </c>
      <c r="F50" s="198">
        <f t="shared" si="1"/>
        <v>1123.5999999999999</v>
      </c>
      <c r="G50" s="198">
        <f>E50*0.1</f>
        <v>561.80000000000007</v>
      </c>
      <c r="H50" s="198">
        <v>30</v>
      </c>
      <c r="I50" s="198">
        <f t="shared" si="2"/>
        <v>2191.0200000000004</v>
      </c>
      <c r="J50" s="198">
        <v>30</v>
      </c>
      <c r="K50" s="198">
        <f t="shared" si="3"/>
        <v>2191.0200000000004</v>
      </c>
      <c r="L50" s="198">
        <f>C50*D50*6-113.44</f>
        <v>17414.720000000005</v>
      </c>
      <c r="M50" s="89"/>
      <c r="N50" s="85"/>
      <c r="O50" s="11"/>
      <c r="P50" s="11"/>
      <c r="Q50" s="11"/>
      <c r="R50" s="11"/>
      <c r="S50" s="11"/>
      <c r="T50" s="11"/>
      <c r="U50" s="11"/>
      <c r="V50" s="11"/>
      <c r="W50" s="11"/>
    </row>
    <row r="51" spans="1:23" s="1" customFormat="1" x14ac:dyDescent="0.25">
      <c r="A51" s="19" t="s">
        <v>576</v>
      </c>
      <c r="B51" s="198" t="s">
        <v>177</v>
      </c>
      <c r="C51" s="134">
        <v>0.25</v>
      </c>
      <c r="D51" s="198">
        <f t="shared" si="5"/>
        <v>11685.440000000002</v>
      </c>
      <c r="E51" s="134">
        <v>5618</v>
      </c>
      <c r="F51" s="198">
        <f t="shared" si="1"/>
        <v>1123.5999999999999</v>
      </c>
      <c r="G51" s="248">
        <f>E51*0.1</f>
        <v>561.80000000000007</v>
      </c>
      <c r="H51" s="198">
        <v>30</v>
      </c>
      <c r="I51" s="198">
        <f t="shared" si="2"/>
        <v>2191.0200000000004</v>
      </c>
      <c r="J51" s="198">
        <v>30</v>
      </c>
      <c r="K51" s="198">
        <f t="shared" si="3"/>
        <v>2191.0200000000004</v>
      </c>
      <c r="L51" s="198">
        <f>C51*D51*3-38.72</f>
        <v>8725.3600000000024</v>
      </c>
      <c r="M51" s="89"/>
      <c r="N51" s="85"/>
      <c r="O51" s="11"/>
      <c r="P51" s="11"/>
      <c r="Q51" s="11"/>
      <c r="R51" s="11"/>
      <c r="S51" s="11"/>
      <c r="T51" s="11"/>
      <c r="U51" s="11"/>
      <c r="V51" s="11"/>
      <c r="W51" s="11"/>
    </row>
    <row r="52" spans="1:23" s="1" customFormat="1" ht="25.5" x14ac:dyDescent="0.25">
      <c r="A52" s="19" t="s">
        <v>577</v>
      </c>
      <c r="B52" s="198" t="s">
        <v>178</v>
      </c>
      <c r="C52" s="134">
        <v>1</v>
      </c>
      <c r="D52" s="198">
        <f t="shared" si="5"/>
        <v>11685.440000000002</v>
      </c>
      <c r="E52" s="134">
        <v>5618</v>
      </c>
      <c r="F52" s="198">
        <f t="shared" si="1"/>
        <v>1123.5999999999999</v>
      </c>
      <c r="G52" s="198">
        <f>E52*0.1</f>
        <v>561.80000000000007</v>
      </c>
      <c r="H52" s="198">
        <v>30</v>
      </c>
      <c r="I52" s="198">
        <f t="shared" si="2"/>
        <v>2191.0200000000004</v>
      </c>
      <c r="J52" s="198">
        <v>30</v>
      </c>
      <c r="K52" s="198">
        <f t="shared" si="3"/>
        <v>2191.0200000000004</v>
      </c>
      <c r="L52" s="198">
        <f>C52*D52*2+52.1</f>
        <v>23422.980000000003</v>
      </c>
      <c r="M52" s="89"/>
      <c r="N52" s="85"/>
      <c r="O52" s="11"/>
      <c r="P52" s="11"/>
      <c r="Q52" s="11"/>
      <c r="R52" s="11"/>
      <c r="S52" s="11"/>
      <c r="T52" s="11"/>
      <c r="U52" s="11"/>
      <c r="V52" s="11"/>
      <c r="W52" s="11"/>
    </row>
    <row r="53" spans="1:23" s="1" customFormat="1" x14ac:dyDescent="0.25">
      <c r="A53" s="167" t="s">
        <v>427</v>
      </c>
      <c r="B53" s="164" t="s">
        <v>1</v>
      </c>
      <c r="C53" s="30">
        <f>SUM(C25:C52)</f>
        <v>31.5</v>
      </c>
      <c r="D53" s="164" t="s">
        <v>1</v>
      </c>
      <c r="E53" s="164" t="s">
        <v>1</v>
      </c>
      <c r="F53" s="164" t="s">
        <v>1</v>
      </c>
      <c r="G53" s="164" t="s">
        <v>1</v>
      </c>
      <c r="H53" s="164" t="s">
        <v>1</v>
      </c>
      <c r="I53" s="164" t="s">
        <v>1</v>
      </c>
      <c r="J53" s="164" t="s">
        <v>1</v>
      </c>
      <c r="K53" s="164" t="s">
        <v>1</v>
      </c>
      <c r="L53" s="30">
        <f>SUM(L25:L52)</f>
        <v>1399999.9959461594</v>
      </c>
      <c r="M53" s="250"/>
      <c r="N53" s="251"/>
      <c r="O53" s="11"/>
      <c r="P53" s="11"/>
      <c r="Q53" s="11"/>
      <c r="R53" s="11"/>
      <c r="S53" s="11"/>
      <c r="T53" s="11"/>
      <c r="U53" s="11"/>
      <c r="V53" s="11"/>
      <c r="W53" s="11"/>
    </row>
    <row r="54" spans="1:23" s="1" customFormat="1" x14ac:dyDescent="0.25">
      <c r="A54" s="23"/>
      <c r="B54" s="89"/>
      <c r="C54" s="89"/>
      <c r="D54" s="90"/>
      <c r="E54" s="90"/>
      <c r="F54" s="90"/>
      <c r="G54" s="90"/>
      <c r="H54" s="90"/>
      <c r="I54" s="90"/>
      <c r="J54" s="102"/>
      <c r="K54" s="90"/>
      <c r="L54" s="90"/>
      <c r="M54" s="90"/>
      <c r="N54" s="85"/>
      <c r="O54" s="11"/>
      <c r="P54" s="11"/>
      <c r="Q54" s="11"/>
      <c r="R54" s="11"/>
      <c r="S54" s="11"/>
      <c r="T54" s="11"/>
      <c r="U54" s="11"/>
      <c r="V54" s="11"/>
      <c r="W54" s="11"/>
    </row>
    <row r="55" spans="1:23" s="1" customFormat="1" x14ac:dyDescent="0.25">
      <c r="A55" s="24" t="s">
        <v>657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11"/>
      <c r="P55" s="11"/>
      <c r="Q55" s="11"/>
      <c r="R55" s="11"/>
      <c r="S55" s="11"/>
      <c r="T55" s="11"/>
      <c r="U55" s="11"/>
      <c r="V55" s="11"/>
      <c r="W55" s="11"/>
    </row>
    <row r="56" spans="1:23" s="1" customFormat="1" x14ac:dyDescent="0.25">
      <c r="A56" s="24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11"/>
      <c r="P56" s="11"/>
      <c r="Q56" s="11"/>
      <c r="R56" s="11"/>
      <c r="S56" s="11"/>
      <c r="T56" s="11"/>
      <c r="U56" s="11"/>
      <c r="V56" s="11"/>
      <c r="W56" s="11"/>
    </row>
    <row r="57" spans="1:23" s="1" customFormat="1" ht="13.5" customHeight="1" x14ac:dyDescent="0.25">
      <c r="A57" s="299" t="s">
        <v>339</v>
      </c>
      <c r="B57" s="308" t="s">
        <v>72</v>
      </c>
      <c r="C57" s="308" t="s">
        <v>57</v>
      </c>
      <c r="D57" s="275" t="s">
        <v>107</v>
      </c>
      <c r="E57" s="275"/>
      <c r="F57" s="275"/>
      <c r="G57" s="275"/>
      <c r="H57" s="275"/>
      <c r="I57" s="275"/>
      <c r="J57" s="275"/>
      <c r="K57" s="275"/>
      <c r="L57" s="307" t="s">
        <v>108</v>
      </c>
      <c r="M57" s="155"/>
      <c r="N57" s="85"/>
      <c r="O57" s="11"/>
      <c r="P57" s="11"/>
      <c r="Q57" s="11"/>
      <c r="R57" s="11"/>
      <c r="S57" s="11"/>
      <c r="T57" s="11"/>
      <c r="U57" s="11"/>
      <c r="V57" s="11"/>
      <c r="W57" s="11"/>
    </row>
    <row r="58" spans="1:23" s="1" customFormat="1" ht="15.75" customHeight="1" x14ac:dyDescent="0.25">
      <c r="A58" s="299"/>
      <c r="B58" s="308"/>
      <c r="C58" s="308"/>
      <c r="D58" s="307" t="s">
        <v>340</v>
      </c>
      <c r="E58" s="275" t="s">
        <v>109</v>
      </c>
      <c r="F58" s="275"/>
      <c r="G58" s="275"/>
      <c r="H58" s="275"/>
      <c r="I58" s="275"/>
      <c r="J58" s="275"/>
      <c r="K58" s="275"/>
      <c r="L58" s="307"/>
      <c r="M58" s="155"/>
      <c r="N58" s="85"/>
      <c r="O58" s="11"/>
      <c r="P58" s="11"/>
      <c r="Q58" s="11"/>
      <c r="R58" s="11"/>
      <c r="S58" s="11"/>
      <c r="T58" s="11"/>
      <c r="U58" s="11"/>
      <c r="V58" s="11"/>
      <c r="W58" s="11"/>
    </row>
    <row r="59" spans="1:23" s="1" customFormat="1" ht="15.75" customHeight="1" x14ac:dyDescent="0.25">
      <c r="A59" s="299"/>
      <c r="B59" s="308"/>
      <c r="C59" s="308"/>
      <c r="D59" s="307"/>
      <c r="E59" s="307" t="s">
        <v>58</v>
      </c>
      <c r="F59" s="307" t="s">
        <v>179</v>
      </c>
      <c r="G59" s="329" t="s">
        <v>555</v>
      </c>
      <c r="H59" s="308" t="s">
        <v>110</v>
      </c>
      <c r="I59" s="308"/>
      <c r="J59" s="308" t="s">
        <v>111</v>
      </c>
      <c r="K59" s="308"/>
      <c r="L59" s="307"/>
      <c r="M59" s="155"/>
      <c r="N59" s="85"/>
      <c r="O59" s="11"/>
      <c r="P59" s="11"/>
      <c r="Q59" s="11"/>
      <c r="R59" s="11"/>
      <c r="S59" s="11"/>
      <c r="T59" s="11"/>
      <c r="U59" s="11"/>
      <c r="V59" s="11"/>
      <c r="W59" s="11"/>
    </row>
    <row r="60" spans="1:23" s="1" customFormat="1" ht="46.5" customHeight="1" x14ac:dyDescent="0.25">
      <c r="A60" s="299"/>
      <c r="B60" s="308"/>
      <c r="C60" s="308"/>
      <c r="D60" s="307"/>
      <c r="E60" s="307"/>
      <c r="F60" s="307"/>
      <c r="G60" s="330"/>
      <c r="H60" s="168" t="s">
        <v>112</v>
      </c>
      <c r="I60" s="170" t="s">
        <v>113</v>
      </c>
      <c r="J60" s="168" t="s">
        <v>112</v>
      </c>
      <c r="K60" s="170" t="s">
        <v>114</v>
      </c>
      <c r="L60" s="307"/>
      <c r="M60" s="155"/>
      <c r="N60" s="85"/>
      <c r="O60" s="11"/>
      <c r="P60" s="11"/>
      <c r="Q60" s="11"/>
      <c r="R60" s="11"/>
      <c r="S60" s="11"/>
      <c r="T60" s="11"/>
      <c r="U60" s="11"/>
      <c r="V60" s="11"/>
      <c r="W60" s="11"/>
    </row>
    <row r="61" spans="1:23" s="1" customFormat="1" x14ac:dyDescent="0.25">
      <c r="A61" s="167" t="s">
        <v>190</v>
      </c>
      <c r="B61" s="164" t="s">
        <v>73</v>
      </c>
      <c r="C61" s="164" t="s">
        <v>47</v>
      </c>
      <c r="D61" s="164" t="s">
        <v>48</v>
      </c>
      <c r="E61" s="164" t="s">
        <v>49</v>
      </c>
      <c r="F61" s="164" t="s">
        <v>52</v>
      </c>
      <c r="G61" s="93">
        <v>7</v>
      </c>
      <c r="H61" s="93">
        <v>8</v>
      </c>
      <c r="I61" s="93">
        <v>9</v>
      </c>
      <c r="J61" s="93">
        <v>10</v>
      </c>
      <c r="K61" s="93">
        <v>11</v>
      </c>
      <c r="L61" s="93">
        <v>12</v>
      </c>
      <c r="M61" s="156"/>
      <c r="N61" s="85"/>
      <c r="O61" s="11"/>
      <c r="P61" s="11"/>
      <c r="Q61" s="11"/>
      <c r="R61" s="11"/>
      <c r="S61" s="11"/>
      <c r="T61" s="11"/>
      <c r="U61" s="11"/>
      <c r="V61" s="11"/>
      <c r="W61" s="11"/>
    </row>
    <row r="62" spans="1:23" s="1" customFormat="1" x14ac:dyDescent="0.25">
      <c r="A62" s="19" t="s">
        <v>557</v>
      </c>
      <c r="B62" s="198" t="s">
        <v>98</v>
      </c>
      <c r="C62" s="134">
        <v>1</v>
      </c>
      <c r="D62" s="256">
        <f>E62+F62+G62+I62+K62-11035.87</f>
        <v>27691.329999999994</v>
      </c>
      <c r="E62" s="256">
        <v>20170.419999999998</v>
      </c>
      <c r="F62" s="256">
        <f t="shared" ref="F62:F89" si="8">ROUND((E62*0.2),2)</f>
        <v>4034.08</v>
      </c>
      <c r="G62" s="256">
        <v>0</v>
      </c>
      <c r="H62" s="256">
        <v>30</v>
      </c>
      <c r="I62" s="256">
        <f t="shared" ref="I62:I89" si="9">(E62+F62+G62)*H62/100</f>
        <v>7261.35</v>
      </c>
      <c r="J62" s="256">
        <v>30</v>
      </c>
      <c r="K62" s="256">
        <f t="shared" ref="K62:K89" si="10">(E62+F62+G62)*J62/100</f>
        <v>7261.35</v>
      </c>
      <c r="L62" s="256">
        <f>C62*D62</f>
        <v>27691.329999999994</v>
      </c>
      <c r="M62" s="89"/>
      <c r="N62" s="85"/>
      <c r="O62" s="11"/>
      <c r="P62" s="11"/>
      <c r="Q62" s="11"/>
      <c r="R62" s="11"/>
      <c r="S62" s="11"/>
      <c r="T62" s="11"/>
      <c r="U62" s="11"/>
      <c r="V62" s="11"/>
      <c r="W62" s="11"/>
    </row>
    <row r="63" spans="1:23" s="1" customFormat="1" ht="25.5" x14ac:dyDescent="0.25">
      <c r="A63" s="19" t="s">
        <v>558</v>
      </c>
      <c r="B63" s="198" t="s">
        <v>99</v>
      </c>
      <c r="C63" s="134">
        <v>1</v>
      </c>
      <c r="D63" s="256">
        <f>E63+F63+G63+I63+K63-7212.29</f>
        <v>27642.205999999998</v>
      </c>
      <c r="E63" s="256">
        <v>18153.38</v>
      </c>
      <c r="F63" s="256">
        <f t="shared" si="8"/>
        <v>3630.68</v>
      </c>
      <c r="G63" s="256">
        <v>0</v>
      </c>
      <c r="H63" s="256">
        <v>30</v>
      </c>
      <c r="I63" s="256">
        <f t="shared" si="9"/>
        <v>6535.2180000000008</v>
      </c>
      <c r="J63" s="256">
        <v>30</v>
      </c>
      <c r="K63" s="256">
        <f t="shared" si="10"/>
        <v>6535.2180000000008</v>
      </c>
      <c r="L63" s="256">
        <f t="shared" ref="L63:L64" si="11">C63*D63</f>
        <v>27642.205999999998</v>
      </c>
      <c r="M63" s="89"/>
      <c r="N63" s="85"/>
      <c r="O63" s="11"/>
      <c r="P63" s="11"/>
      <c r="Q63" s="11"/>
      <c r="R63" s="11"/>
      <c r="S63" s="11"/>
      <c r="T63" s="11"/>
      <c r="U63" s="11"/>
      <c r="V63" s="11"/>
      <c r="W63" s="11"/>
    </row>
    <row r="64" spans="1:23" s="1" customFormat="1" ht="25.5" x14ac:dyDescent="0.25">
      <c r="A64" s="19" t="s">
        <v>578</v>
      </c>
      <c r="B64" s="198" t="s">
        <v>152</v>
      </c>
      <c r="C64" s="134">
        <v>0.5</v>
      </c>
      <c r="D64" s="256">
        <f>E64+F64+G64+I64+K64</f>
        <v>30273.5020128</v>
      </c>
      <c r="E64" s="134">
        <v>8067</v>
      </c>
      <c r="F64" s="256">
        <f t="shared" si="8"/>
        <v>1613.4</v>
      </c>
      <c r="G64" s="256">
        <f>E64*1.145474</f>
        <v>9240.5387580000006</v>
      </c>
      <c r="H64" s="256">
        <v>30</v>
      </c>
      <c r="I64" s="256">
        <f t="shared" si="9"/>
        <v>5676.2816274000006</v>
      </c>
      <c r="J64" s="256">
        <v>30</v>
      </c>
      <c r="K64" s="256">
        <f t="shared" si="10"/>
        <v>5676.2816274000006</v>
      </c>
      <c r="L64" s="256">
        <f t="shared" si="11"/>
        <v>15136.7510064</v>
      </c>
      <c r="M64" s="89"/>
      <c r="N64" s="85"/>
      <c r="O64" s="11"/>
      <c r="P64" s="11"/>
      <c r="Q64" s="11"/>
      <c r="R64" s="11"/>
      <c r="S64" s="11"/>
      <c r="T64" s="11"/>
      <c r="U64" s="11"/>
      <c r="V64" s="11"/>
      <c r="W64" s="11"/>
    </row>
    <row r="65" spans="1:23" s="1" customFormat="1" x14ac:dyDescent="0.25">
      <c r="A65" s="19" t="s">
        <v>579</v>
      </c>
      <c r="B65" s="198" t="s">
        <v>154</v>
      </c>
      <c r="C65" s="134">
        <v>0.25</v>
      </c>
      <c r="D65" s="256">
        <f>E65+F65+G65+I65+K65</f>
        <v>19691.73072</v>
      </c>
      <c r="E65" s="134">
        <v>4650</v>
      </c>
      <c r="F65" s="256">
        <f t="shared" si="8"/>
        <v>930</v>
      </c>
      <c r="G65" s="256">
        <f>E65*1.446738</f>
        <v>6727.3317000000006</v>
      </c>
      <c r="H65" s="256">
        <v>30</v>
      </c>
      <c r="I65" s="256">
        <f t="shared" si="9"/>
        <v>3692.1995099999999</v>
      </c>
      <c r="J65" s="256">
        <v>30</v>
      </c>
      <c r="K65" s="256">
        <f t="shared" si="10"/>
        <v>3692.1995099999999</v>
      </c>
      <c r="L65" s="256">
        <f>C65*D65*3</f>
        <v>14768.79804</v>
      </c>
      <c r="M65" s="89"/>
      <c r="N65" s="85"/>
      <c r="O65" s="11"/>
      <c r="P65" s="11"/>
      <c r="Q65" s="11"/>
      <c r="R65" s="11"/>
      <c r="S65" s="11"/>
      <c r="T65" s="11"/>
      <c r="U65" s="11"/>
      <c r="V65" s="11"/>
      <c r="W65" s="11"/>
    </row>
    <row r="66" spans="1:23" s="1" customFormat="1" x14ac:dyDescent="0.25">
      <c r="A66" s="19" t="s">
        <v>153</v>
      </c>
      <c r="B66" s="198" t="s">
        <v>155</v>
      </c>
      <c r="C66" s="134">
        <v>1.25</v>
      </c>
      <c r="D66" s="256">
        <f>E66+F66+G66+I66+K66</f>
        <v>8928</v>
      </c>
      <c r="E66" s="134">
        <v>4650</v>
      </c>
      <c r="F66" s="256">
        <f t="shared" si="8"/>
        <v>930</v>
      </c>
      <c r="G66" s="256">
        <v>0</v>
      </c>
      <c r="H66" s="256">
        <v>30</v>
      </c>
      <c r="I66" s="256">
        <f t="shared" si="9"/>
        <v>1674</v>
      </c>
      <c r="J66" s="256">
        <v>30</v>
      </c>
      <c r="K66" s="256">
        <f t="shared" si="10"/>
        <v>1674</v>
      </c>
      <c r="L66" s="256">
        <f>C66*D66*2-153.6</f>
        <v>22166.400000000001</v>
      </c>
      <c r="M66" s="89"/>
      <c r="N66" s="85"/>
      <c r="O66" s="11"/>
      <c r="P66" s="11"/>
      <c r="Q66" s="11"/>
      <c r="R66" s="11"/>
      <c r="S66" s="11"/>
      <c r="T66" s="11"/>
      <c r="U66" s="11"/>
      <c r="V66" s="11"/>
      <c r="W66" s="11"/>
    </row>
    <row r="67" spans="1:23" s="1" customFormat="1" x14ac:dyDescent="0.25">
      <c r="A67" s="19" t="s">
        <v>153</v>
      </c>
      <c r="B67" s="198" t="s">
        <v>156</v>
      </c>
      <c r="C67" s="134">
        <v>0.25</v>
      </c>
      <c r="D67" s="256">
        <f>E67+F67+G67+I67+K67</f>
        <v>17723.769624000004</v>
      </c>
      <c r="E67" s="134">
        <v>3813</v>
      </c>
      <c r="F67" s="256">
        <f t="shared" si="8"/>
        <v>762.6</v>
      </c>
      <c r="G67" s="256">
        <f>E67*1.705155</f>
        <v>6501.7560149999999</v>
      </c>
      <c r="H67" s="256">
        <v>30</v>
      </c>
      <c r="I67" s="256">
        <f t="shared" si="9"/>
        <v>3323.2068045000005</v>
      </c>
      <c r="J67" s="256">
        <v>30</v>
      </c>
      <c r="K67" s="256">
        <f t="shared" si="10"/>
        <v>3323.2068045000005</v>
      </c>
      <c r="L67" s="256">
        <f>C67*D67*5</f>
        <v>22154.712030000006</v>
      </c>
      <c r="M67" s="89"/>
      <c r="N67" s="85"/>
      <c r="O67" s="11"/>
      <c r="P67" s="11"/>
      <c r="Q67" s="11"/>
      <c r="R67" s="11"/>
      <c r="S67" s="11"/>
      <c r="T67" s="11"/>
      <c r="U67" s="11"/>
      <c r="V67" s="11"/>
      <c r="W67" s="11"/>
    </row>
    <row r="68" spans="1:23" s="1" customFormat="1" x14ac:dyDescent="0.25">
      <c r="A68" s="19" t="s">
        <v>556</v>
      </c>
      <c r="B68" s="198" t="s">
        <v>157</v>
      </c>
      <c r="C68" s="134">
        <v>0.5</v>
      </c>
      <c r="D68" s="256">
        <f t="shared" ref="D68:D69" si="12">E68+F68+G68+I68+K68</f>
        <v>29538.881731199996</v>
      </c>
      <c r="E68" s="134">
        <v>10874</v>
      </c>
      <c r="F68" s="256">
        <f t="shared" si="8"/>
        <v>2174.8000000000002</v>
      </c>
      <c r="G68" s="256">
        <f>E68*0.497793</f>
        <v>5413.0010819999998</v>
      </c>
      <c r="H68" s="256">
        <v>30</v>
      </c>
      <c r="I68" s="256">
        <f t="shared" si="9"/>
        <v>5538.5403245999987</v>
      </c>
      <c r="J68" s="256">
        <v>30</v>
      </c>
      <c r="K68" s="256">
        <f t="shared" si="10"/>
        <v>5538.5403245999987</v>
      </c>
      <c r="L68" s="256">
        <f t="shared" ref="L68:L69" si="13">C68*D68</f>
        <v>14769.440865599998</v>
      </c>
      <c r="M68" s="89"/>
      <c r="N68" s="85"/>
      <c r="O68" s="11"/>
      <c r="P68" s="11"/>
      <c r="Q68" s="11"/>
      <c r="R68" s="11"/>
      <c r="S68" s="11"/>
      <c r="T68" s="11"/>
      <c r="U68" s="11"/>
      <c r="V68" s="11"/>
      <c r="W68" s="11"/>
    </row>
    <row r="69" spans="1:23" s="1" customFormat="1" x14ac:dyDescent="0.25">
      <c r="A69" s="19" t="s">
        <v>559</v>
      </c>
      <c r="B69" s="198" t="s">
        <v>158</v>
      </c>
      <c r="C69" s="134">
        <v>1</v>
      </c>
      <c r="D69" s="256">
        <f t="shared" si="12"/>
        <v>29538.618928000004</v>
      </c>
      <c r="E69" s="134">
        <v>14197</v>
      </c>
      <c r="F69" s="256">
        <f t="shared" si="8"/>
        <v>2839.4</v>
      </c>
      <c r="G69" s="256">
        <f>E69*0.10039</f>
        <v>1425.2368299999998</v>
      </c>
      <c r="H69" s="256">
        <v>30</v>
      </c>
      <c r="I69" s="256">
        <f t="shared" si="9"/>
        <v>5538.4910490000011</v>
      </c>
      <c r="J69" s="256">
        <v>30</v>
      </c>
      <c r="K69" s="256">
        <f t="shared" si="10"/>
        <v>5538.4910490000011</v>
      </c>
      <c r="L69" s="256">
        <f t="shared" si="13"/>
        <v>29538.618928000004</v>
      </c>
      <c r="M69" s="89"/>
      <c r="N69" s="85"/>
      <c r="O69" s="11"/>
      <c r="P69" s="11"/>
      <c r="Q69" s="11"/>
      <c r="R69" s="11"/>
      <c r="S69" s="11"/>
      <c r="T69" s="11"/>
      <c r="U69" s="11"/>
      <c r="V69" s="11"/>
      <c r="W69" s="11"/>
    </row>
    <row r="70" spans="1:23" s="1" customFormat="1" ht="25.5" x14ac:dyDescent="0.25">
      <c r="A70" s="19" t="s">
        <v>560</v>
      </c>
      <c r="B70" s="198" t="s">
        <v>159</v>
      </c>
      <c r="C70" s="134">
        <v>0.75</v>
      </c>
      <c r="D70" s="256">
        <f>E70+F70+G70+I70+K70</f>
        <v>39342.7264</v>
      </c>
      <c r="E70" s="134">
        <v>14197</v>
      </c>
      <c r="F70" s="256">
        <f t="shared" si="8"/>
        <v>2839.4</v>
      </c>
      <c r="G70" s="256">
        <f>E70*0.532</f>
        <v>7552.8040000000001</v>
      </c>
      <c r="H70" s="256">
        <v>30</v>
      </c>
      <c r="I70" s="256">
        <f t="shared" si="9"/>
        <v>7376.7611999999999</v>
      </c>
      <c r="J70" s="256">
        <v>30</v>
      </c>
      <c r="K70" s="256">
        <f t="shared" si="10"/>
        <v>7376.7611999999999</v>
      </c>
      <c r="L70" s="256">
        <f>C70*D70+29.08</f>
        <v>29536.124800000001</v>
      </c>
      <c r="M70" s="89"/>
      <c r="N70" s="85"/>
      <c r="O70" s="11"/>
      <c r="P70" s="11"/>
      <c r="Q70" s="11"/>
      <c r="R70" s="11"/>
      <c r="S70" s="11"/>
      <c r="T70" s="11"/>
      <c r="U70" s="11"/>
      <c r="V70" s="11"/>
      <c r="W70" s="11"/>
    </row>
    <row r="71" spans="1:23" s="1" customFormat="1" ht="25.5" x14ac:dyDescent="0.25">
      <c r="A71" s="19" t="s">
        <v>561</v>
      </c>
      <c r="B71" s="198" t="s">
        <v>160</v>
      </c>
      <c r="C71" s="134">
        <v>0.5</v>
      </c>
      <c r="D71" s="256">
        <f t="shared" ref="D71" si="14">E71+F71+G71+I71+K71</f>
        <v>29529.760000000006</v>
      </c>
      <c r="E71" s="134">
        <v>14197</v>
      </c>
      <c r="F71" s="256">
        <f t="shared" si="8"/>
        <v>2839.4</v>
      </c>
      <c r="G71" s="256">
        <f>E71*0.1</f>
        <v>1419.7</v>
      </c>
      <c r="H71" s="256">
        <v>30</v>
      </c>
      <c r="I71" s="256">
        <f t="shared" si="9"/>
        <v>5536.8300000000008</v>
      </c>
      <c r="J71" s="256">
        <v>30</v>
      </c>
      <c r="K71" s="256">
        <f t="shared" si="10"/>
        <v>5536.8300000000008</v>
      </c>
      <c r="L71" s="256">
        <f>C71*D71+4.08</f>
        <v>14768.960000000003</v>
      </c>
      <c r="M71" s="89"/>
      <c r="N71" s="85"/>
      <c r="O71" s="11"/>
      <c r="P71" s="11"/>
      <c r="Q71" s="11"/>
      <c r="R71" s="11"/>
      <c r="S71" s="11"/>
      <c r="T71" s="11"/>
      <c r="U71" s="11"/>
      <c r="V71" s="11"/>
      <c r="W71" s="11"/>
    </row>
    <row r="72" spans="1:23" s="1" customFormat="1" ht="13.5" customHeight="1" x14ac:dyDescent="0.25">
      <c r="A72" s="19" t="s">
        <v>600</v>
      </c>
      <c r="B72" s="198" t="s">
        <v>161</v>
      </c>
      <c r="C72" s="134">
        <v>1</v>
      </c>
      <c r="D72" s="256">
        <f>E72+F72+G72+I72+K72-12424.96</f>
        <v>8453.119999999999</v>
      </c>
      <c r="E72" s="134">
        <v>10874</v>
      </c>
      <c r="F72" s="256">
        <f t="shared" si="8"/>
        <v>2174.8000000000002</v>
      </c>
      <c r="G72" s="256">
        <v>0</v>
      </c>
      <c r="H72" s="256">
        <v>30</v>
      </c>
      <c r="I72" s="256">
        <f t="shared" si="9"/>
        <v>3914.64</v>
      </c>
      <c r="J72" s="256">
        <v>30</v>
      </c>
      <c r="K72" s="256">
        <f t="shared" si="10"/>
        <v>3914.64</v>
      </c>
      <c r="L72" s="256">
        <f t="shared" ref="L72" si="15">C72*D72</f>
        <v>8453.119999999999</v>
      </c>
      <c r="M72" s="89"/>
      <c r="N72" s="85"/>
      <c r="O72" s="11"/>
      <c r="P72" s="11"/>
      <c r="Q72" s="11"/>
      <c r="R72" s="11"/>
      <c r="S72" s="11"/>
      <c r="T72" s="11"/>
      <c r="U72" s="11"/>
      <c r="V72" s="11"/>
      <c r="W72" s="11"/>
    </row>
    <row r="73" spans="1:23" s="1" customFormat="1" x14ac:dyDescent="0.25">
      <c r="A73" s="19" t="s">
        <v>562</v>
      </c>
      <c r="B73" s="198" t="s">
        <v>162</v>
      </c>
      <c r="C73" s="134">
        <v>0.75</v>
      </c>
      <c r="D73" s="256">
        <f t="shared" ref="D73:D89" si="16">E73+F73+G73+I73+K73</f>
        <v>20878.239999999998</v>
      </c>
      <c r="E73" s="134">
        <v>10874</v>
      </c>
      <c r="F73" s="256">
        <f t="shared" si="8"/>
        <v>2174.8000000000002</v>
      </c>
      <c r="G73" s="256">
        <v>0.1</v>
      </c>
      <c r="H73" s="256">
        <v>30</v>
      </c>
      <c r="I73" s="256">
        <f t="shared" si="9"/>
        <v>3914.67</v>
      </c>
      <c r="J73" s="256">
        <v>30</v>
      </c>
      <c r="K73" s="256">
        <f t="shared" si="10"/>
        <v>3914.67</v>
      </c>
      <c r="L73" s="256">
        <f>C73*D73+44.74</f>
        <v>15703.419999999998</v>
      </c>
      <c r="M73" s="89"/>
      <c r="N73" s="85"/>
      <c r="O73" s="11"/>
      <c r="P73" s="11"/>
      <c r="Q73" s="11"/>
      <c r="R73" s="11"/>
      <c r="S73" s="11"/>
      <c r="T73" s="11"/>
      <c r="U73" s="11"/>
      <c r="V73" s="11"/>
      <c r="W73" s="11"/>
    </row>
    <row r="74" spans="1:23" s="1" customFormat="1" ht="13.5" customHeight="1" x14ac:dyDescent="0.25">
      <c r="A74" s="19" t="s">
        <v>563</v>
      </c>
      <c r="B74" s="198" t="s">
        <v>163</v>
      </c>
      <c r="C74" s="134">
        <v>1</v>
      </c>
      <c r="D74" s="256">
        <f t="shared" si="16"/>
        <v>22617.919999999998</v>
      </c>
      <c r="E74" s="134">
        <v>10874</v>
      </c>
      <c r="F74" s="256">
        <f t="shared" si="8"/>
        <v>2174.8000000000002</v>
      </c>
      <c r="G74" s="256">
        <f>E74*0.1</f>
        <v>1087.4000000000001</v>
      </c>
      <c r="H74" s="256">
        <v>30</v>
      </c>
      <c r="I74" s="256">
        <f t="shared" si="9"/>
        <v>4240.8599999999997</v>
      </c>
      <c r="J74" s="256">
        <v>30</v>
      </c>
      <c r="K74" s="256">
        <f t="shared" si="10"/>
        <v>4240.8599999999997</v>
      </c>
      <c r="L74" s="256">
        <f>C74*D74+107.17</f>
        <v>22725.089999999997</v>
      </c>
      <c r="M74" s="89"/>
      <c r="N74" s="85"/>
      <c r="O74" s="11"/>
      <c r="P74" s="11"/>
      <c r="Q74" s="11"/>
      <c r="R74" s="11"/>
      <c r="S74" s="11"/>
      <c r="T74" s="11"/>
      <c r="U74" s="11"/>
      <c r="V74" s="11"/>
      <c r="W74" s="11"/>
    </row>
    <row r="75" spans="1:23" s="1" customFormat="1" ht="15.75" customHeight="1" x14ac:dyDescent="0.25">
      <c r="A75" s="19" t="s">
        <v>601</v>
      </c>
      <c r="B75" s="198" t="s">
        <v>164</v>
      </c>
      <c r="C75" s="134">
        <v>1</v>
      </c>
      <c r="D75" s="256">
        <f t="shared" si="16"/>
        <v>16779.36</v>
      </c>
      <c r="E75" s="134">
        <v>8067</v>
      </c>
      <c r="F75" s="256">
        <f t="shared" si="8"/>
        <v>1613.4</v>
      </c>
      <c r="G75" s="256">
        <f>E75*0.1</f>
        <v>806.7</v>
      </c>
      <c r="H75" s="256">
        <v>30</v>
      </c>
      <c r="I75" s="256">
        <f t="shared" si="9"/>
        <v>3146.13</v>
      </c>
      <c r="J75" s="256">
        <v>30</v>
      </c>
      <c r="K75" s="256">
        <f t="shared" si="10"/>
        <v>3146.13</v>
      </c>
      <c r="L75" s="256">
        <f>C75*D75-135.04</f>
        <v>16644.32</v>
      </c>
      <c r="M75" s="89"/>
      <c r="N75" s="85"/>
      <c r="O75" s="11"/>
      <c r="P75" s="11"/>
      <c r="Q75" s="11"/>
      <c r="R75" s="11"/>
      <c r="S75" s="11"/>
      <c r="T75" s="11"/>
      <c r="U75" s="11"/>
      <c r="V75" s="11"/>
      <c r="W75" s="11"/>
    </row>
    <row r="76" spans="1:23" s="1" customFormat="1" x14ac:dyDescent="0.25">
      <c r="A76" s="19" t="s">
        <v>564</v>
      </c>
      <c r="B76" s="198" t="s">
        <v>165</v>
      </c>
      <c r="C76" s="134">
        <v>0.75</v>
      </c>
      <c r="D76" s="256">
        <f t="shared" si="16"/>
        <v>16779.36</v>
      </c>
      <c r="E76" s="134">
        <v>8067</v>
      </c>
      <c r="F76" s="256">
        <f t="shared" si="8"/>
        <v>1613.4</v>
      </c>
      <c r="G76" s="256">
        <f>E76*0.1</f>
        <v>806.7</v>
      </c>
      <c r="H76" s="256">
        <v>30</v>
      </c>
      <c r="I76" s="256">
        <f t="shared" si="9"/>
        <v>3146.13</v>
      </c>
      <c r="J76" s="256">
        <v>30</v>
      </c>
      <c r="K76" s="256">
        <f t="shared" si="10"/>
        <v>3146.13</v>
      </c>
      <c r="L76" s="256">
        <f>C76*D76*2-75.62</f>
        <v>25093.420000000002</v>
      </c>
      <c r="M76" s="89"/>
      <c r="N76" s="85"/>
      <c r="O76" s="11"/>
      <c r="P76" s="11"/>
      <c r="Q76" s="11"/>
      <c r="R76" s="11"/>
      <c r="S76" s="11"/>
      <c r="T76" s="11"/>
      <c r="U76" s="11"/>
      <c r="V76" s="11"/>
      <c r="W76" s="11"/>
    </row>
    <row r="77" spans="1:23" s="1" customFormat="1" ht="25.5" x14ac:dyDescent="0.25">
      <c r="A77" s="19" t="s">
        <v>565</v>
      </c>
      <c r="B77" s="198" t="s">
        <v>166</v>
      </c>
      <c r="C77" s="134">
        <v>5</v>
      </c>
      <c r="D77" s="256">
        <f t="shared" si="16"/>
        <v>23532.774151743997</v>
      </c>
      <c r="E77" s="134">
        <v>10874</v>
      </c>
      <c r="F77" s="256">
        <f t="shared" si="8"/>
        <v>2174.8000000000002</v>
      </c>
      <c r="G77" s="256">
        <f>E77*0.15258266</f>
        <v>1659.1838448400001</v>
      </c>
      <c r="H77" s="256">
        <v>30</v>
      </c>
      <c r="I77" s="256">
        <f t="shared" si="9"/>
        <v>4412.3951534519992</v>
      </c>
      <c r="J77" s="256">
        <v>30</v>
      </c>
      <c r="K77" s="256">
        <f t="shared" si="10"/>
        <v>4412.3951534519992</v>
      </c>
      <c r="L77" s="256">
        <f>C77*D77*3-356.8</f>
        <v>352634.81227616</v>
      </c>
      <c r="M77" s="89"/>
      <c r="N77" s="85"/>
      <c r="O77" s="11"/>
      <c r="P77" s="11"/>
      <c r="Q77" s="11"/>
      <c r="R77" s="11"/>
      <c r="S77" s="11"/>
      <c r="T77" s="11"/>
      <c r="U77" s="11"/>
      <c r="V77" s="11"/>
      <c r="W77" s="11"/>
    </row>
    <row r="78" spans="1:23" s="1" customFormat="1" ht="25.5" x14ac:dyDescent="0.25">
      <c r="A78" s="19" t="s">
        <v>566</v>
      </c>
      <c r="B78" s="198" t="s">
        <v>167</v>
      </c>
      <c r="C78" s="134">
        <v>5</v>
      </c>
      <c r="D78" s="256">
        <f t="shared" si="16"/>
        <v>24357.759999999995</v>
      </c>
      <c r="E78" s="134">
        <v>10874</v>
      </c>
      <c r="F78" s="256">
        <f t="shared" si="8"/>
        <v>2174.8000000000002</v>
      </c>
      <c r="G78" s="256">
        <f>E78*0.2</f>
        <v>2174.8000000000002</v>
      </c>
      <c r="H78" s="256">
        <v>30</v>
      </c>
      <c r="I78" s="256">
        <f t="shared" si="9"/>
        <v>4567.079999999999</v>
      </c>
      <c r="J78" s="256">
        <v>30</v>
      </c>
      <c r="K78" s="256">
        <f t="shared" si="10"/>
        <v>4567.079999999999</v>
      </c>
      <c r="L78" s="256">
        <f>C78*D78*3-356.8</f>
        <v>365009.59999999992</v>
      </c>
      <c r="M78" s="89"/>
      <c r="N78" s="85"/>
      <c r="O78" s="11"/>
      <c r="P78" s="11"/>
      <c r="Q78" s="11"/>
      <c r="R78" s="11"/>
      <c r="S78" s="11"/>
      <c r="T78" s="11"/>
      <c r="U78" s="11"/>
      <c r="V78" s="11"/>
      <c r="W78" s="11"/>
    </row>
    <row r="79" spans="1:23" s="1" customFormat="1" ht="25.5" x14ac:dyDescent="0.25">
      <c r="A79" s="19" t="s">
        <v>567</v>
      </c>
      <c r="B79" s="198" t="s">
        <v>168</v>
      </c>
      <c r="C79" s="134">
        <v>2</v>
      </c>
      <c r="D79" s="256">
        <f t="shared" si="16"/>
        <v>13542.335999999999</v>
      </c>
      <c r="E79" s="134">
        <v>5532</v>
      </c>
      <c r="F79" s="256">
        <f t="shared" si="8"/>
        <v>1106.4000000000001</v>
      </c>
      <c r="G79" s="256">
        <f>E79*0.33</f>
        <v>1825.5600000000002</v>
      </c>
      <c r="H79" s="256">
        <v>30</v>
      </c>
      <c r="I79" s="256">
        <f t="shared" si="9"/>
        <v>2539.1880000000001</v>
      </c>
      <c r="J79" s="256">
        <v>30</v>
      </c>
      <c r="K79" s="256">
        <f t="shared" si="10"/>
        <v>2539.1880000000001</v>
      </c>
      <c r="L79" s="256">
        <f>C79*D79*6+180.66</f>
        <v>162688.69200000001</v>
      </c>
      <c r="M79" s="89"/>
      <c r="N79" s="85"/>
      <c r="O79" s="11"/>
      <c r="P79" s="11"/>
      <c r="Q79" s="11"/>
      <c r="R79" s="11"/>
      <c r="S79" s="11"/>
      <c r="T79" s="11"/>
      <c r="U79" s="11"/>
      <c r="V79" s="11"/>
      <c r="W79" s="11"/>
    </row>
    <row r="80" spans="1:23" s="1" customFormat="1" ht="25.5" x14ac:dyDescent="0.25">
      <c r="A80" s="19" t="s">
        <v>568</v>
      </c>
      <c r="B80" s="198" t="s">
        <v>169</v>
      </c>
      <c r="C80" s="134">
        <v>1</v>
      </c>
      <c r="D80" s="256">
        <f t="shared" si="16"/>
        <v>24357.759999999995</v>
      </c>
      <c r="E80" s="134">
        <v>10874</v>
      </c>
      <c r="F80" s="256">
        <f t="shared" si="8"/>
        <v>2174.8000000000002</v>
      </c>
      <c r="G80" s="256">
        <f t="shared" ref="G80:G85" si="17">E80*0.2</f>
        <v>2174.8000000000002</v>
      </c>
      <c r="H80" s="256">
        <v>30</v>
      </c>
      <c r="I80" s="256">
        <f t="shared" si="9"/>
        <v>4567.079999999999</v>
      </c>
      <c r="J80" s="256">
        <v>30</v>
      </c>
      <c r="K80" s="256">
        <f t="shared" si="10"/>
        <v>4567.079999999999</v>
      </c>
      <c r="L80" s="256">
        <f>C80*D80-35.36</f>
        <v>24322.399999999994</v>
      </c>
      <c r="M80" s="89"/>
      <c r="N80" s="85"/>
      <c r="O80" s="11"/>
      <c r="P80" s="11"/>
      <c r="Q80" s="11"/>
      <c r="R80" s="11"/>
      <c r="S80" s="11"/>
      <c r="T80" s="11"/>
      <c r="U80" s="11"/>
      <c r="V80" s="11"/>
      <c r="W80" s="11"/>
    </row>
    <row r="81" spans="1:23" s="1" customFormat="1" x14ac:dyDescent="0.25">
      <c r="A81" s="19" t="s">
        <v>569</v>
      </c>
      <c r="B81" s="198" t="s">
        <v>170</v>
      </c>
      <c r="C81" s="134">
        <v>1</v>
      </c>
      <c r="D81" s="256">
        <f t="shared" si="16"/>
        <v>24357.759999999995</v>
      </c>
      <c r="E81" s="134">
        <v>10874</v>
      </c>
      <c r="F81" s="256">
        <f t="shared" si="8"/>
        <v>2174.8000000000002</v>
      </c>
      <c r="G81" s="256">
        <f t="shared" si="17"/>
        <v>2174.8000000000002</v>
      </c>
      <c r="H81" s="256">
        <v>30</v>
      </c>
      <c r="I81" s="256">
        <f t="shared" si="9"/>
        <v>4567.079999999999</v>
      </c>
      <c r="J81" s="256">
        <v>30</v>
      </c>
      <c r="K81" s="256">
        <f t="shared" si="10"/>
        <v>4567.079999999999</v>
      </c>
      <c r="L81" s="256">
        <f>C81*D81-35.36</f>
        <v>24322.399999999994</v>
      </c>
      <c r="M81" s="89"/>
      <c r="N81" s="85"/>
      <c r="O81" s="11"/>
      <c r="P81" s="11"/>
      <c r="Q81" s="11"/>
      <c r="R81" s="11"/>
      <c r="S81" s="11"/>
      <c r="T81" s="11"/>
      <c r="U81" s="11"/>
      <c r="V81" s="11"/>
      <c r="W81" s="11"/>
    </row>
    <row r="82" spans="1:23" s="1" customFormat="1" x14ac:dyDescent="0.25">
      <c r="A82" s="19" t="s">
        <v>570</v>
      </c>
      <c r="B82" s="198" t="s">
        <v>171</v>
      </c>
      <c r="C82" s="134">
        <v>1</v>
      </c>
      <c r="D82" s="256">
        <f t="shared" si="16"/>
        <v>24357.759999999995</v>
      </c>
      <c r="E82" s="134">
        <v>10874</v>
      </c>
      <c r="F82" s="256">
        <f t="shared" si="8"/>
        <v>2174.8000000000002</v>
      </c>
      <c r="G82" s="256">
        <f t="shared" si="17"/>
        <v>2174.8000000000002</v>
      </c>
      <c r="H82" s="256">
        <v>30</v>
      </c>
      <c r="I82" s="256">
        <f t="shared" si="9"/>
        <v>4567.079999999999</v>
      </c>
      <c r="J82" s="256">
        <v>30</v>
      </c>
      <c r="K82" s="256">
        <f t="shared" si="10"/>
        <v>4567.079999999999</v>
      </c>
      <c r="L82" s="256">
        <f>C82*D82-35.36</f>
        <v>24322.399999999994</v>
      </c>
      <c r="M82" s="89"/>
      <c r="N82" s="85"/>
      <c r="O82" s="11"/>
      <c r="P82" s="11"/>
      <c r="Q82" s="11"/>
      <c r="R82" s="11"/>
      <c r="S82" s="11"/>
      <c r="T82" s="11"/>
      <c r="U82" s="11"/>
      <c r="V82" s="11"/>
      <c r="W82" s="11"/>
    </row>
    <row r="83" spans="1:23" s="1" customFormat="1" x14ac:dyDescent="0.25">
      <c r="A83" s="19" t="s">
        <v>571</v>
      </c>
      <c r="B83" s="198" t="s">
        <v>172</v>
      </c>
      <c r="C83" s="134">
        <v>0.5</v>
      </c>
      <c r="D83" s="256">
        <f t="shared" si="16"/>
        <v>24357.759999999995</v>
      </c>
      <c r="E83" s="134">
        <v>10874</v>
      </c>
      <c r="F83" s="256">
        <f t="shared" si="8"/>
        <v>2174.8000000000002</v>
      </c>
      <c r="G83" s="256">
        <f t="shared" si="17"/>
        <v>2174.8000000000002</v>
      </c>
      <c r="H83" s="256">
        <v>30</v>
      </c>
      <c r="I83" s="256">
        <f t="shared" si="9"/>
        <v>4567.079999999999</v>
      </c>
      <c r="J83" s="256">
        <v>30</v>
      </c>
      <c r="K83" s="256">
        <f t="shared" si="10"/>
        <v>4567.079999999999</v>
      </c>
      <c r="L83" s="256">
        <f>C83*D83-17.68</f>
        <v>12161.199999999997</v>
      </c>
      <c r="M83" s="89"/>
      <c r="N83" s="85"/>
      <c r="O83" s="11"/>
      <c r="P83" s="11"/>
      <c r="Q83" s="11"/>
      <c r="R83" s="11"/>
      <c r="S83" s="11"/>
      <c r="T83" s="11"/>
      <c r="U83" s="11"/>
      <c r="V83" s="11"/>
      <c r="W83" s="11"/>
    </row>
    <row r="84" spans="1:23" s="1" customFormat="1" x14ac:dyDescent="0.25">
      <c r="A84" s="19" t="s">
        <v>572</v>
      </c>
      <c r="B84" s="198" t="s">
        <v>173</v>
      </c>
      <c r="C84" s="134">
        <v>1</v>
      </c>
      <c r="D84" s="256">
        <f t="shared" si="16"/>
        <v>24357.759999999995</v>
      </c>
      <c r="E84" s="134">
        <v>10874</v>
      </c>
      <c r="F84" s="256">
        <f t="shared" si="8"/>
        <v>2174.8000000000002</v>
      </c>
      <c r="G84" s="256">
        <f t="shared" si="17"/>
        <v>2174.8000000000002</v>
      </c>
      <c r="H84" s="256">
        <v>30</v>
      </c>
      <c r="I84" s="256">
        <f t="shared" si="9"/>
        <v>4567.079999999999</v>
      </c>
      <c r="J84" s="256">
        <v>30</v>
      </c>
      <c r="K84" s="256">
        <f t="shared" si="10"/>
        <v>4567.079999999999</v>
      </c>
      <c r="L84" s="256">
        <f>C84*D84*1-35.36</f>
        <v>24322.399999999994</v>
      </c>
      <c r="M84" s="89"/>
      <c r="N84" s="85"/>
      <c r="O84" s="11"/>
      <c r="P84" s="11"/>
      <c r="Q84" s="11"/>
      <c r="R84" s="11"/>
      <c r="S84" s="11"/>
      <c r="T84" s="11"/>
      <c r="U84" s="11"/>
      <c r="V84" s="11"/>
      <c r="W84" s="11"/>
    </row>
    <row r="85" spans="1:23" s="1" customFormat="1" x14ac:dyDescent="0.25">
      <c r="A85" s="19" t="s">
        <v>573</v>
      </c>
      <c r="B85" s="198" t="s">
        <v>174</v>
      </c>
      <c r="C85" s="134">
        <v>1</v>
      </c>
      <c r="D85" s="256">
        <f t="shared" si="16"/>
        <v>24357.759999999995</v>
      </c>
      <c r="E85" s="134">
        <v>10874</v>
      </c>
      <c r="F85" s="256">
        <f t="shared" si="8"/>
        <v>2174.8000000000002</v>
      </c>
      <c r="G85" s="256">
        <f t="shared" si="17"/>
        <v>2174.8000000000002</v>
      </c>
      <c r="H85" s="256">
        <v>30</v>
      </c>
      <c r="I85" s="256">
        <f t="shared" si="9"/>
        <v>4567.079999999999</v>
      </c>
      <c r="J85" s="256">
        <v>30</v>
      </c>
      <c r="K85" s="256">
        <f t="shared" si="10"/>
        <v>4567.079999999999</v>
      </c>
      <c r="L85" s="256">
        <f>C85*D85-35.36</f>
        <v>24322.399999999994</v>
      </c>
      <c r="M85" s="89"/>
      <c r="N85" s="85"/>
      <c r="O85" s="11"/>
      <c r="P85" s="11"/>
      <c r="Q85" s="11"/>
      <c r="R85" s="11"/>
      <c r="S85" s="11"/>
      <c r="T85" s="11"/>
      <c r="U85" s="11"/>
      <c r="V85" s="11"/>
      <c r="W85" s="11"/>
    </row>
    <row r="86" spans="1:23" s="1" customFormat="1" x14ac:dyDescent="0.25">
      <c r="A86" s="19" t="s">
        <v>574</v>
      </c>
      <c r="B86" s="198" t="s">
        <v>175</v>
      </c>
      <c r="C86" s="134">
        <v>1</v>
      </c>
      <c r="D86" s="256">
        <f t="shared" si="16"/>
        <v>29529.760000000006</v>
      </c>
      <c r="E86" s="134">
        <v>14197</v>
      </c>
      <c r="F86" s="256">
        <f t="shared" si="8"/>
        <v>2839.4</v>
      </c>
      <c r="G86" s="256">
        <f t="shared" ref="G86" si="18">E86*0.1</f>
        <v>1419.7</v>
      </c>
      <c r="H86" s="256">
        <v>30</v>
      </c>
      <c r="I86" s="256">
        <f t="shared" si="9"/>
        <v>5536.8300000000008</v>
      </c>
      <c r="J86" s="256">
        <v>30</v>
      </c>
      <c r="K86" s="256">
        <f t="shared" si="10"/>
        <v>5536.8300000000008</v>
      </c>
      <c r="L86" s="256">
        <f>C86*D86+8.16</f>
        <v>29537.920000000006</v>
      </c>
      <c r="M86" s="89"/>
      <c r="N86" s="85"/>
      <c r="O86" s="11"/>
      <c r="P86" s="11"/>
      <c r="Q86" s="11"/>
      <c r="R86" s="11"/>
      <c r="S86" s="11"/>
      <c r="T86" s="11"/>
      <c r="U86" s="11"/>
      <c r="V86" s="11"/>
      <c r="W86" s="11"/>
    </row>
    <row r="87" spans="1:23" s="1" customFormat="1" ht="15.75" customHeight="1" x14ac:dyDescent="0.25">
      <c r="A87" s="19" t="s">
        <v>575</v>
      </c>
      <c r="B87" s="198" t="s">
        <v>176</v>
      </c>
      <c r="C87" s="134">
        <v>0.25</v>
      </c>
      <c r="D87" s="256">
        <f t="shared" si="16"/>
        <v>11685.440000000002</v>
      </c>
      <c r="E87" s="134">
        <v>5618</v>
      </c>
      <c r="F87" s="256">
        <f t="shared" si="8"/>
        <v>1123.5999999999999</v>
      </c>
      <c r="G87" s="256">
        <f>E87*0.1</f>
        <v>561.80000000000007</v>
      </c>
      <c r="H87" s="256">
        <v>30</v>
      </c>
      <c r="I87" s="256">
        <f t="shared" si="9"/>
        <v>2191.0200000000004</v>
      </c>
      <c r="J87" s="256">
        <v>30</v>
      </c>
      <c r="K87" s="256">
        <f t="shared" si="10"/>
        <v>2191.0200000000004</v>
      </c>
      <c r="L87" s="256">
        <f>C87*D87*6-113.44</f>
        <v>17414.720000000005</v>
      </c>
      <c r="M87" s="89"/>
      <c r="N87" s="85"/>
      <c r="O87" s="11"/>
      <c r="P87" s="11"/>
      <c r="Q87" s="11"/>
      <c r="R87" s="11"/>
      <c r="S87" s="11"/>
      <c r="T87" s="11"/>
      <c r="U87" s="11"/>
      <c r="V87" s="11"/>
      <c r="W87" s="11"/>
    </row>
    <row r="88" spans="1:23" s="1" customFormat="1" ht="15.75" customHeight="1" x14ac:dyDescent="0.25">
      <c r="A88" s="19" t="s">
        <v>576</v>
      </c>
      <c r="B88" s="198" t="s">
        <v>177</v>
      </c>
      <c r="C88" s="134">
        <v>0.25</v>
      </c>
      <c r="D88" s="256">
        <f t="shared" si="16"/>
        <v>11685.440000000002</v>
      </c>
      <c r="E88" s="134">
        <v>5618</v>
      </c>
      <c r="F88" s="256">
        <f t="shared" si="8"/>
        <v>1123.5999999999999</v>
      </c>
      <c r="G88" s="256">
        <f>E88*0.1</f>
        <v>561.80000000000007</v>
      </c>
      <c r="H88" s="256">
        <v>30</v>
      </c>
      <c r="I88" s="256">
        <f t="shared" si="9"/>
        <v>2191.0200000000004</v>
      </c>
      <c r="J88" s="256">
        <v>30</v>
      </c>
      <c r="K88" s="256">
        <f t="shared" si="10"/>
        <v>2191.0200000000004</v>
      </c>
      <c r="L88" s="256">
        <f>C88*D88*3-38.72</f>
        <v>8725.3600000000024</v>
      </c>
      <c r="M88" s="89"/>
      <c r="N88" s="85"/>
      <c r="O88" s="11"/>
      <c r="P88" s="11"/>
      <c r="Q88" s="11"/>
      <c r="R88" s="11"/>
      <c r="S88" s="11"/>
      <c r="T88" s="11"/>
      <c r="U88" s="11"/>
      <c r="V88" s="11"/>
      <c r="W88" s="11"/>
    </row>
    <row r="89" spans="1:23" s="1" customFormat="1" ht="25.5" customHeight="1" x14ac:dyDescent="0.25">
      <c r="A89" s="19" t="s">
        <v>577</v>
      </c>
      <c r="B89" s="198" t="s">
        <v>178</v>
      </c>
      <c r="C89" s="134">
        <v>1</v>
      </c>
      <c r="D89" s="256">
        <f t="shared" si="16"/>
        <v>11685.440000000002</v>
      </c>
      <c r="E89" s="134">
        <v>5618</v>
      </c>
      <c r="F89" s="256">
        <f t="shared" si="8"/>
        <v>1123.5999999999999</v>
      </c>
      <c r="G89" s="256">
        <f>E89*0.1</f>
        <v>561.80000000000007</v>
      </c>
      <c r="H89" s="256">
        <v>30</v>
      </c>
      <c r="I89" s="256">
        <f t="shared" si="9"/>
        <v>2191.0200000000004</v>
      </c>
      <c r="J89" s="256">
        <v>30</v>
      </c>
      <c r="K89" s="256">
        <f t="shared" si="10"/>
        <v>2191.0200000000004</v>
      </c>
      <c r="L89" s="256">
        <f>C89*D89*2+52.1</f>
        <v>23422.980000000003</v>
      </c>
      <c r="M89" s="89"/>
      <c r="N89" s="85"/>
      <c r="O89" s="11"/>
      <c r="P89" s="11"/>
      <c r="Q89" s="11"/>
      <c r="R89" s="11"/>
      <c r="S89" s="11"/>
      <c r="T89" s="11"/>
      <c r="U89" s="11"/>
      <c r="V89" s="11"/>
      <c r="W89" s="11"/>
    </row>
    <row r="90" spans="1:23" s="1" customFormat="1" x14ac:dyDescent="0.25">
      <c r="A90" s="167" t="s">
        <v>427</v>
      </c>
      <c r="B90" s="164" t="s">
        <v>1</v>
      </c>
      <c r="C90" s="30">
        <f>SUM(C62:C89)</f>
        <v>31.5</v>
      </c>
      <c r="D90" s="164" t="s">
        <v>1</v>
      </c>
      <c r="E90" s="164" t="s">
        <v>1</v>
      </c>
      <c r="F90" s="164" t="s">
        <v>1</v>
      </c>
      <c r="G90" s="164" t="s">
        <v>1</v>
      </c>
      <c r="H90" s="164" t="s">
        <v>1</v>
      </c>
      <c r="I90" s="164" t="s">
        <v>1</v>
      </c>
      <c r="J90" s="164" t="s">
        <v>1</v>
      </c>
      <c r="K90" s="164" t="s">
        <v>1</v>
      </c>
      <c r="L90" s="30">
        <f>SUM(L62:L89)</f>
        <v>1399999.9959461594</v>
      </c>
      <c r="M90" s="157"/>
      <c r="N90" s="85"/>
      <c r="O90" s="11"/>
      <c r="P90" s="11"/>
      <c r="Q90" s="11"/>
      <c r="R90" s="11"/>
      <c r="S90" s="11"/>
      <c r="T90" s="11"/>
      <c r="U90" s="11"/>
      <c r="V90" s="11"/>
      <c r="W90" s="11"/>
    </row>
    <row r="91" spans="1:23" s="1" customFormat="1" x14ac:dyDescent="0.25">
      <c r="A91" s="24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11"/>
      <c r="P91" s="11"/>
      <c r="Q91" s="11"/>
      <c r="R91" s="11"/>
      <c r="S91" s="11"/>
      <c r="T91" s="11"/>
      <c r="U91" s="11"/>
      <c r="V91" s="11"/>
      <c r="W91" s="11"/>
    </row>
    <row r="92" spans="1:23" s="1" customFormat="1" x14ac:dyDescent="0.25">
      <c r="A92" s="24" t="s">
        <v>656</v>
      </c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11"/>
      <c r="P92" s="11"/>
      <c r="Q92" s="11"/>
      <c r="R92" s="11"/>
      <c r="S92" s="11"/>
      <c r="T92" s="11"/>
      <c r="U92" s="11"/>
      <c r="V92" s="11"/>
      <c r="W92" s="11"/>
    </row>
    <row r="93" spans="1:23" s="1" customFormat="1" ht="7.5" customHeight="1" x14ac:dyDescent="0.25">
      <c r="A93" s="24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11"/>
      <c r="P93" s="11"/>
      <c r="Q93" s="11"/>
      <c r="R93" s="11"/>
      <c r="S93" s="11"/>
      <c r="T93" s="11"/>
      <c r="U93" s="11"/>
      <c r="V93" s="11"/>
      <c r="W93" s="11"/>
    </row>
    <row r="94" spans="1:23" s="1" customFormat="1" ht="15.75" customHeight="1" x14ac:dyDescent="0.25">
      <c r="A94" s="299" t="s">
        <v>339</v>
      </c>
      <c r="B94" s="308" t="s">
        <v>72</v>
      </c>
      <c r="C94" s="308" t="s">
        <v>57</v>
      </c>
      <c r="D94" s="275" t="s">
        <v>107</v>
      </c>
      <c r="E94" s="275"/>
      <c r="F94" s="275"/>
      <c r="G94" s="275"/>
      <c r="H94" s="275"/>
      <c r="I94" s="275"/>
      <c r="J94" s="275"/>
      <c r="K94" s="275"/>
      <c r="L94" s="307" t="s">
        <v>108</v>
      </c>
      <c r="M94" s="155"/>
      <c r="N94" s="85"/>
      <c r="O94" s="11"/>
      <c r="P94" s="11"/>
      <c r="Q94" s="11"/>
      <c r="R94" s="11"/>
      <c r="S94" s="11"/>
      <c r="T94" s="11"/>
      <c r="U94" s="11"/>
      <c r="V94" s="11"/>
      <c r="W94" s="11"/>
    </row>
    <row r="95" spans="1:23" s="1" customFormat="1" ht="15.75" customHeight="1" x14ac:dyDescent="0.25">
      <c r="A95" s="299"/>
      <c r="B95" s="308"/>
      <c r="C95" s="308"/>
      <c r="D95" s="307" t="s">
        <v>340</v>
      </c>
      <c r="E95" s="275" t="s">
        <v>109</v>
      </c>
      <c r="F95" s="275"/>
      <c r="G95" s="275"/>
      <c r="H95" s="275"/>
      <c r="I95" s="275"/>
      <c r="J95" s="275"/>
      <c r="K95" s="275"/>
      <c r="L95" s="307"/>
      <c r="M95" s="155"/>
      <c r="N95" s="85"/>
      <c r="O95" s="11"/>
      <c r="P95" s="11"/>
      <c r="Q95" s="11"/>
      <c r="R95" s="11"/>
      <c r="S95" s="11"/>
      <c r="T95" s="11"/>
      <c r="U95" s="11"/>
      <c r="V95" s="11"/>
      <c r="W95" s="11"/>
    </row>
    <row r="96" spans="1:23" s="1" customFormat="1" ht="15.75" customHeight="1" x14ac:dyDescent="0.25">
      <c r="A96" s="299"/>
      <c r="B96" s="308"/>
      <c r="C96" s="308"/>
      <c r="D96" s="307"/>
      <c r="E96" s="307" t="s">
        <v>58</v>
      </c>
      <c r="F96" s="307" t="s">
        <v>179</v>
      </c>
      <c r="G96" s="329" t="s">
        <v>555</v>
      </c>
      <c r="H96" s="308" t="s">
        <v>110</v>
      </c>
      <c r="I96" s="308"/>
      <c r="J96" s="308" t="s">
        <v>111</v>
      </c>
      <c r="K96" s="308"/>
      <c r="L96" s="307"/>
      <c r="M96" s="155"/>
      <c r="N96" s="85"/>
      <c r="O96" s="11"/>
      <c r="P96" s="11"/>
      <c r="Q96" s="11"/>
      <c r="R96" s="11"/>
      <c r="S96" s="11"/>
      <c r="T96" s="11"/>
      <c r="U96" s="11"/>
      <c r="V96" s="11"/>
      <c r="W96" s="11"/>
    </row>
    <row r="97" spans="1:23" s="1" customFormat="1" ht="46.5" customHeight="1" x14ac:dyDescent="0.25">
      <c r="A97" s="299"/>
      <c r="B97" s="308"/>
      <c r="C97" s="308"/>
      <c r="D97" s="307"/>
      <c r="E97" s="307"/>
      <c r="F97" s="307"/>
      <c r="G97" s="330"/>
      <c r="H97" s="168" t="s">
        <v>112</v>
      </c>
      <c r="I97" s="170" t="s">
        <v>113</v>
      </c>
      <c r="J97" s="168" t="s">
        <v>112</v>
      </c>
      <c r="K97" s="170" t="s">
        <v>114</v>
      </c>
      <c r="L97" s="307"/>
      <c r="M97" s="155"/>
      <c r="N97" s="85"/>
      <c r="O97" s="11"/>
      <c r="P97" s="11"/>
      <c r="Q97" s="11"/>
      <c r="R97" s="11"/>
      <c r="S97" s="11"/>
      <c r="T97" s="11"/>
      <c r="U97" s="11"/>
      <c r="V97" s="11"/>
      <c r="W97" s="11"/>
    </row>
    <row r="98" spans="1:23" s="1" customFormat="1" x14ac:dyDescent="0.25">
      <c r="A98" s="167" t="s">
        <v>190</v>
      </c>
      <c r="B98" s="164" t="s">
        <v>73</v>
      </c>
      <c r="C98" s="164" t="s">
        <v>47</v>
      </c>
      <c r="D98" s="164" t="s">
        <v>48</v>
      </c>
      <c r="E98" s="164" t="s">
        <v>49</v>
      </c>
      <c r="F98" s="164" t="s">
        <v>52</v>
      </c>
      <c r="G98" s="93">
        <v>7</v>
      </c>
      <c r="H98" s="93">
        <v>8</v>
      </c>
      <c r="I98" s="93">
        <v>9</v>
      </c>
      <c r="J98" s="93">
        <v>10</v>
      </c>
      <c r="K98" s="93">
        <v>11</v>
      </c>
      <c r="L98" s="93">
        <v>12</v>
      </c>
      <c r="M98" s="156"/>
      <c r="N98" s="85"/>
      <c r="O98" s="11"/>
      <c r="P98" s="11"/>
      <c r="Q98" s="11"/>
      <c r="R98" s="11"/>
      <c r="S98" s="11"/>
      <c r="T98" s="11"/>
      <c r="U98" s="11"/>
      <c r="V98" s="11"/>
      <c r="W98" s="11"/>
    </row>
    <row r="99" spans="1:23" s="1" customFormat="1" x14ac:dyDescent="0.25">
      <c r="A99" s="19" t="s">
        <v>557</v>
      </c>
      <c r="B99" s="198" t="s">
        <v>98</v>
      </c>
      <c r="C99" s="134">
        <v>1</v>
      </c>
      <c r="D99" s="256">
        <f>E99+F99+G99+I99+K99-11035.87</f>
        <v>27691.329999999994</v>
      </c>
      <c r="E99" s="256">
        <v>20170.419999999998</v>
      </c>
      <c r="F99" s="256">
        <f t="shared" ref="F99:F126" si="19">ROUND((E99*0.2),2)</f>
        <v>4034.08</v>
      </c>
      <c r="G99" s="256">
        <v>0</v>
      </c>
      <c r="H99" s="256">
        <v>30</v>
      </c>
      <c r="I99" s="256">
        <f t="shared" ref="I99:I126" si="20">(E99+F99+G99)*H99/100</f>
        <v>7261.35</v>
      </c>
      <c r="J99" s="256">
        <v>30</v>
      </c>
      <c r="K99" s="256">
        <f t="shared" ref="K99:K126" si="21">(E99+F99+G99)*J99/100</f>
        <v>7261.35</v>
      </c>
      <c r="L99" s="256">
        <f>C99*D99</f>
        <v>27691.329999999994</v>
      </c>
      <c r="M99" s="89"/>
      <c r="N99" s="85"/>
      <c r="O99" s="11"/>
      <c r="P99" s="11"/>
      <c r="Q99" s="11"/>
      <c r="R99" s="11"/>
      <c r="S99" s="11"/>
      <c r="T99" s="11"/>
      <c r="U99" s="11"/>
      <c r="V99" s="11"/>
      <c r="W99" s="11"/>
    </row>
    <row r="100" spans="1:23" s="1" customFormat="1" ht="26.25" customHeight="1" x14ac:dyDescent="0.25">
      <c r="A100" s="19" t="s">
        <v>558</v>
      </c>
      <c r="B100" s="198" t="s">
        <v>99</v>
      </c>
      <c r="C100" s="134">
        <v>1</v>
      </c>
      <c r="D100" s="256">
        <f>E100+F100+G100+I100+K100-7212.29</f>
        <v>27642.205999999998</v>
      </c>
      <c r="E100" s="256">
        <v>18153.38</v>
      </c>
      <c r="F100" s="256">
        <f t="shared" si="19"/>
        <v>3630.68</v>
      </c>
      <c r="G100" s="256">
        <v>0</v>
      </c>
      <c r="H100" s="256">
        <v>30</v>
      </c>
      <c r="I100" s="256">
        <f t="shared" si="20"/>
        <v>6535.2180000000008</v>
      </c>
      <c r="J100" s="256">
        <v>30</v>
      </c>
      <c r="K100" s="256">
        <f t="shared" si="21"/>
        <v>6535.2180000000008</v>
      </c>
      <c r="L100" s="256">
        <f t="shared" ref="L100:L101" si="22">C100*D100</f>
        <v>27642.205999999998</v>
      </c>
      <c r="M100" s="89"/>
      <c r="N100" s="85"/>
      <c r="O100" s="11"/>
      <c r="P100" s="11"/>
      <c r="Q100" s="11"/>
      <c r="R100" s="11"/>
      <c r="S100" s="11"/>
      <c r="T100" s="11"/>
      <c r="U100" s="11"/>
      <c r="V100" s="11"/>
      <c r="W100" s="11"/>
    </row>
    <row r="101" spans="1:23" s="1" customFormat="1" ht="25.5" x14ac:dyDescent="0.25">
      <c r="A101" s="19" t="s">
        <v>578</v>
      </c>
      <c r="B101" s="198" t="s">
        <v>152</v>
      </c>
      <c r="C101" s="134">
        <v>0.5</v>
      </c>
      <c r="D101" s="256">
        <f>E101+F101+G101+I101+K101</f>
        <v>30273.5020128</v>
      </c>
      <c r="E101" s="134">
        <v>8067</v>
      </c>
      <c r="F101" s="256">
        <f t="shared" si="19"/>
        <v>1613.4</v>
      </c>
      <c r="G101" s="256">
        <f>E101*1.145474</f>
        <v>9240.5387580000006</v>
      </c>
      <c r="H101" s="256">
        <v>30</v>
      </c>
      <c r="I101" s="256">
        <f t="shared" si="20"/>
        <v>5676.2816274000006</v>
      </c>
      <c r="J101" s="256">
        <v>30</v>
      </c>
      <c r="K101" s="256">
        <f t="shared" si="21"/>
        <v>5676.2816274000006</v>
      </c>
      <c r="L101" s="256">
        <f t="shared" si="22"/>
        <v>15136.7510064</v>
      </c>
      <c r="M101" s="89"/>
      <c r="N101" s="85"/>
      <c r="O101" s="11"/>
      <c r="P101" s="11"/>
      <c r="Q101" s="11"/>
      <c r="R101" s="11"/>
      <c r="S101" s="11"/>
      <c r="T101" s="11"/>
      <c r="U101" s="11"/>
      <c r="V101" s="11"/>
      <c r="W101" s="11"/>
    </row>
    <row r="102" spans="1:23" s="1" customFormat="1" x14ac:dyDescent="0.25">
      <c r="A102" s="19" t="s">
        <v>579</v>
      </c>
      <c r="B102" s="198" t="s">
        <v>154</v>
      </c>
      <c r="C102" s="134">
        <v>0.25</v>
      </c>
      <c r="D102" s="256">
        <f>E102+F102+G102+I102+K102</f>
        <v>19691.73072</v>
      </c>
      <c r="E102" s="134">
        <v>4650</v>
      </c>
      <c r="F102" s="256">
        <f t="shared" si="19"/>
        <v>930</v>
      </c>
      <c r="G102" s="256">
        <f>E102*1.446738</f>
        <v>6727.3317000000006</v>
      </c>
      <c r="H102" s="256">
        <v>30</v>
      </c>
      <c r="I102" s="256">
        <f t="shared" si="20"/>
        <v>3692.1995099999999</v>
      </c>
      <c r="J102" s="256">
        <v>30</v>
      </c>
      <c r="K102" s="256">
        <f t="shared" si="21"/>
        <v>3692.1995099999999</v>
      </c>
      <c r="L102" s="256">
        <f>C102*D102*3</f>
        <v>14768.79804</v>
      </c>
      <c r="M102" s="89"/>
      <c r="N102" s="85"/>
      <c r="O102" s="11"/>
      <c r="P102" s="11"/>
      <c r="Q102" s="11"/>
      <c r="R102" s="11"/>
      <c r="S102" s="11"/>
      <c r="T102" s="11"/>
      <c r="U102" s="11"/>
      <c r="V102" s="11"/>
      <c r="W102" s="11"/>
    </row>
    <row r="103" spans="1:23" s="1" customFormat="1" x14ac:dyDescent="0.25">
      <c r="A103" s="19" t="s">
        <v>153</v>
      </c>
      <c r="B103" s="198" t="s">
        <v>155</v>
      </c>
      <c r="C103" s="134">
        <v>1.25</v>
      </c>
      <c r="D103" s="256">
        <f>E103+F103+G103+I103+K103</f>
        <v>8928</v>
      </c>
      <c r="E103" s="134">
        <v>4650</v>
      </c>
      <c r="F103" s="256">
        <f t="shared" si="19"/>
        <v>930</v>
      </c>
      <c r="G103" s="256">
        <v>0</v>
      </c>
      <c r="H103" s="256">
        <v>30</v>
      </c>
      <c r="I103" s="256">
        <f t="shared" si="20"/>
        <v>1674</v>
      </c>
      <c r="J103" s="256">
        <v>30</v>
      </c>
      <c r="K103" s="256">
        <f t="shared" si="21"/>
        <v>1674</v>
      </c>
      <c r="L103" s="256">
        <f>C103*D103*2-153.6</f>
        <v>22166.400000000001</v>
      </c>
      <c r="M103" s="89"/>
      <c r="N103" s="85"/>
      <c r="O103" s="11"/>
      <c r="P103" s="11"/>
      <c r="Q103" s="11"/>
      <c r="R103" s="11"/>
      <c r="S103" s="11"/>
      <c r="T103" s="11"/>
      <c r="U103" s="11"/>
      <c r="V103" s="11"/>
      <c r="W103" s="11"/>
    </row>
    <row r="104" spans="1:23" s="1" customFormat="1" x14ac:dyDescent="0.25">
      <c r="A104" s="19" t="s">
        <v>153</v>
      </c>
      <c r="B104" s="198" t="s">
        <v>156</v>
      </c>
      <c r="C104" s="134">
        <v>0.25</v>
      </c>
      <c r="D104" s="256">
        <f>E104+F104+G104+I104+K104</f>
        <v>17723.769624000004</v>
      </c>
      <c r="E104" s="134">
        <v>3813</v>
      </c>
      <c r="F104" s="256">
        <f t="shared" si="19"/>
        <v>762.6</v>
      </c>
      <c r="G104" s="256">
        <f>E104*1.705155</f>
        <v>6501.7560149999999</v>
      </c>
      <c r="H104" s="256">
        <v>30</v>
      </c>
      <c r="I104" s="256">
        <f t="shared" si="20"/>
        <v>3323.2068045000005</v>
      </c>
      <c r="J104" s="256">
        <v>30</v>
      </c>
      <c r="K104" s="256">
        <f t="shared" si="21"/>
        <v>3323.2068045000005</v>
      </c>
      <c r="L104" s="256">
        <f>C104*D104*5</f>
        <v>22154.712030000006</v>
      </c>
      <c r="M104" s="89"/>
      <c r="N104" s="85"/>
      <c r="O104" s="11"/>
      <c r="P104" s="11"/>
      <c r="Q104" s="11"/>
      <c r="R104" s="11"/>
      <c r="S104" s="11"/>
      <c r="T104" s="11"/>
      <c r="U104" s="11"/>
      <c r="V104" s="11"/>
      <c r="W104" s="11"/>
    </row>
    <row r="105" spans="1:23" s="1" customFormat="1" x14ac:dyDescent="0.25">
      <c r="A105" s="19" t="s">
        <v>556</v>
      </c>
      <c r="B105" s="198" t="s">
        <v>157</v>
      </c>
      <c r="C105" s="134">
        <v>0.5</v>
      </c>
      <c r="D105" s="256">
        <f t="shared" ref="D105:D106" si="23">E105+F105+G105+I105+K105</f>
        <v>29538.881731199996</v>
      </c>
      <c r="E105" s="134">
        <v>10874</v>
      </c>
      <c r="F105" s="256">
        <f t="shared" si="19"/>
        <v>2174.8000000000002</v>
      </c>
      <c r="G105" s="256">
        <f>E105*0.497793</f>
        <v>5413.0010819999998</v>
      </c>
      <c r="H105" s="256">
        <v>30</v>
      </c>
      <c r="I105" s="256">
        <f t="shared" si="20"/>
        <v>5538.5403245999987</v>
      </c>
      <c r="J105" s="256">
        <v>30</v>
      </c>
      <c r="K105" s="256">
        <f t="shared" si="21"/>
        <v>5538.5403245999987</v>
      </c>
      <c r="L105" s="256">
        <f t="shared" ref="L105:L106" si="24">C105*D105</f>
        <v>14769.440865599998</v>
      </c>
      <c r="M105" s="89"/>
      <c r="N105" s="85"/>
      <c r="O105" s="11"/>
      <c r="P105" s="11"/>
      <c r="Q105" s="11"/>
      <c r="R105" s="11"/>
      <c r="S105" s="11"/>
      <c r="T105" s="11"/>
      <c r="U105" s="11"/>
      <c r="V105" s="11"/>
      <c r="W105" s="11"/>
    </row>
    <row r="106" spans="1:23" s="1" customFormat="1" x14ac:dyDescent="0.25">
      <c r="A106" s="19" t="s">
        <v>559</v>
      </c>
      <c r="B106" s="198" t="s">
        <v>158</v>
      </c>
      <c r="C106" s="134">
        <v>1</v>
      </c>
      <c r="D106" s="256">
        <f t="shared" si="23"/>
        <v>29538.618928000004</v>
      </c>
      <c r="E106" s="134">
        <v>14197</v>
      </c>
      <c r="F106" s="256">
        <f t="shared" si="19"/>
        <v>2839.4</v>
      </c>
      <c r="G106" s="256">
        <f>E106*0.10039</f>
        <v>1425.2368299999998</v>
      </c>
      <c r="H106" s="256">
        <v>30</v>
      </c>
      <c r="I106" s="256">
        <f t="shared" si="20"/>
        <v>5538.4910490000011</v>
      </c>
      <c r="J106" s="256">
        <v>30</v>
      </c>
      <c r="K106" s="256">
        <f t="shared" si="21"/>
        <v>5538.4910490000011</v>
      </c>
      <c r="L106" s="256">
        <f t="shared" si="24"/>
        <v>29538.618928000004</v>
      </c>
      <c r="M106" s="89"/>
      <c r="N106" s="85"/>
      <c r="O106" s="11"/>
      <c r="P106" s="11"/>
      <c r="Q106" s="11"/>
      <c r="R106" s="11"/>
      <c r="S106" s="11"/>
      <c r="T106" s="11"/>
      <c r="U106" s="11"/>
      <c r="V106" s="11"/>
      <c r="W106" s="11"/>
    </row>
    <row r="107" spans="1:23" s="1" customFormat="1" ht="25.5" x14ac:dyDescent="0.25">
      <c r="A107" s="19" t="s">
        <v>560</v>
      </c>
      <c r="B107" s="198" t="s">
        <v>159</v>
      </c>
      <c r="C107" s="134">
        <v>0.75</v>
      </c>
      <c r="D107" s="256">
        <f>E107+F107+G107+I107+K107</f>
        <v>39342.7264</v>
      </c>
      <c r="E107" s="134">
        <v>14197</v>
      </c>
      <c r="F107" s="256">
        <f t="shared" si="19"/>
        <v>2839.4</v>
      </c>
      <c r="G107" s="256">
        <f>E107*0.532</f>
        <v>7552.8040000000001</v>
      </c>
      <c r="H107" s="256">
        <v>30</v>
      </c>
      <c r="I107" s="256">
        <f t="shared" si="20"/>
        <v>7376.7611999999999</v>
      </c>
      <c r="J107" s="256">
        <v>30</v>
      </c>
      <c r="K107" s="256">
        <f t="shared" si="21"/>
        <v>7376.7611999999999</v>
      </c>
      <c r="L107" s="256">
        <f>C107*D107+29.08</f>
        <v>29536.124800000001</v>
      </c>
      <c r="M107" s="89"/>
      <c r="N107" s="85"/>
      <c r="O107" s="11"/>
      <c r="P107" s="11"/>
      <c r="Q107" s="11"/>
      <c r="R107" s="11"/>
      <c r="S107" s="11"/>
      <c r="T107" s="11"/>
      <c r="U107" s="11"/>
      <c r="V107" s="11"/>
      <c r="W107" s="11"/>
    </row>
    <row r="108" spans="1:23" s="1" customFormat="1" ht="25.5" x14ac:dyDescent="0.25">
      <c r="A108" s="19" t="s">
        <v>561</v>
      </c>
      <c r="B108" s="198" t="s">
        <v>160</v>
      </c>
      <c r="C108" s="134">
        <v>0.5</v>
      </c>
      <c r="D108" s="256">
        <f t="shared" ref="D108" si="25">E108+F108+G108+I108+K108</f>
        <v>29529.760000000006</v>
      </c>
      <c r="E108" s="134">
        <v>14197</v>
      </c>
      <c r="F108" s="256">
        <f t="shared" si="19"/>
        <v>2839.4</v>
      </c>
      <c r="G108" s="256">
        <f>E108*0.1</f>
        <v>1419.7</v>
      </c>
      <c r="H108" s="256">
        <v>30</v>
      </c>
      <c r="I108" s="256">
        <f t="shared" si="20"/>
        <v>5536.8300000000008</v>
      </c>
      <c r="J108" s="256">
        <v>30</v>
      </c>
      <c r="K108" s="256">
        <f t="shared" si="21"/>
        <v>5536.8300000000008</v>
      </c>
      <c r="L108" s="256">
        <f>C108*D108+4.08</f>
        <v>14768.960000000003</v>
      </c>
      <c r="M108" s="89"/>
      <c r="N108" s="85"/>
      <c r="O108" s="11"/>
      <c r="P108" s="11"/>
      <c r="Q108" s="11"/>
      <c r="R108" s="11"/>
      <c r="S108" s="11"/>
      <c r="T108" s="11"/>
      <c r="U108" s="11"/>
      <c r="V108" s="11"/>
      <c r="W108" s="11"/>
    </row>
    <row r="109" spans="1:23" s="1" customFormat="1" x14ac:dyDescent="0.25">
      <c r="A109" s="19" t="s">
        <v>600</v>
      </c>
      <c r="B109" s="198" t="s">
        <v>161</v>
      </c>
      <c r="C109" s="134">
        <v>1</v>
      </c>
      <c r="D109" s="256">
        <f>E109+F109+G109+I109+K109-12424.96</f>
        <v>8453.119999999999</v>
      </c>
      <c r="E109" s="134">
        <v>10874</v>
      </c>
      <c r="F109" s="256">
        <f t="shared" si="19"/>
        <v>2174.8000000000002</v>
      </c>
      <c r="G109" s="256">
        <v>0</v>
      </c>
      <c r="H109" s="256">
        <v>30</v>
      </c>
      <c r="I109" s="256">
        <f t="shared" si="20"/>
        <v>3914.64</v>
      </c>
      <c r="J109" s="256">
        <v>30</v>
      </c>
      <c r="K109" s="256">
        <f t="shared" si="21"/>
        <v>3914.64</v>
      </c>
      <c r="L109" s="256">
        <f t="shared" ref="L109" si="26">C109*D109</f>
        <v>8453.119999999999</v>
      </c>
      <c r="M109" s="89"/>
      <c r="N109" s="85"/>
      <c r="O109" s="11"/>
      <c r="P109" s="11"/>
      <c r="Q109" s="11"/>
      <c r="R109" s="11"/>
      <c r="S109" s="11"/>
      <c r="T109" s="11"/>
      <c r="U109" s="11"/>
      <c r="V109" s="11"/>
      <c r="W109" s="11"/>
    </row>
    <row r="110" spans="1:23" s="1" customFormat="1" x14ac:dyDescent="0.25">
      <c r="A110" s="19" t="s">
        <v>562</v>
      </c>
      <c r="B110" s="198" t="s">
        <v>162</v>
      </c>
      <c r="C110" s="134">
        <v>0.75</v>
      </c>
      <c r="D110" s="256">
        <f t="shared" ref="D110:D126" si="27">E110+F110+G110+I110+K110</f>
        <v>20878.239999999998</v>
      </c>
      <c r="E110" s="134">
        <v>10874</v>
      </c>
      <c r="F110" s="256">
        <f t="shared" si="19"/>
        <v>2174.8000000000002</v>
      </c>
      <c r="G110" s="256">
        <v>0.1</v>
      </c>
      <c r="H110" s="256">
        <v>30</v>
      </c>
      <c r="I110" s="256">
        <f t="shared" si="20"/>
        <v>3914.67</v>
      </c>
      <c r="J110" s="256">
        <v>30</v>
      </c>
      <c r="K110" s="256">
        <f t="shared" si="21"/>
        <v>3914.67</v>
      </c>
      <c r="L110" s="256">
        <f>C110*D110+44.74</f>
        <v>15703.419999999998</v>
      </c>
      <c r="M110" s="89"/>
      <c r="N110" s="85"/>
      <c r="O110" s="11"/>
      <c r="P110" s="11"/>
      <c r="Q110" s="11"/>
      <c r="R110" s="11"/>
      <c r="S110" s="11"/>
      <c r="T110" s="11"/>
      <c r="U110" s="11"/>
      <c r="V110" s="11"/>
      <c r="W110" s="11"/>
    </row>
    <row r="111" spans="1:23" s="1" customFormat="1" x14ac:dyDescent="0.25">
      <c r="A111" s="19" t="s">
        <v>563</v>
      </c>
      <c r="B111" s="198" t="s">
        <v>163</v>
      </c>
      <c r="C111" s="134">
        <v>1</v>
      </c>
      <c r="D111" s="256">
        <f t="shared" si="27"/>
        <v>22617.919999999998</v>
      </c>
      <c r="E111" s="134">
        <v>10874</v>
      </c>
      <c r="F111" s="256">
        <f t="shared" si="19"/>
        <v>2174.8000000000002</v>
      </c>
      <c r="G111" s="256">
        <f>E111*0.1</f>
        <v>1087.4000000000001</v>
      </c>
      <c r="H111" s="256">
        <v>30</v>
      </c>
      <c r="I111" s="256">
        <f t="shared" si="20"/>
        <v>4240.8599999999997</v>
      </c>
      <c r="J111" s="256">
        <v>30</v>
      </c>
      <c r="K111" s="256">
        <f t="shared" si="21"/>
        <v>4240.8599999999997</v>
      </c>
      <c r="L111" s="256">
        <f>C111*D111+107.17</f>
        <v>22725.089999999997</v>
      </c>
      <c r="M111" s="89"/>
      <c r="N111" s="85"/>
      <c r="O111" s="11"/>
      <c r="P111" s="11"/>
      <c r="Q111" s="11"/>
      <c r="R111" s="11"/>
      <c r="S111" s="11"/>
      <c r="T111" s="11"/>
      <c r="U111" s="11"/>
      <c r="V111" s="11"/>
      <c r="W111" s="11"/>
    </row>
    <row r="112" spans="1:23" s="1" customFormat="1" ht="15.75" customHeight="1" x14ac:dyDescent="0.25">
      <c r="A112" s="19" t="s">
        <v>601</v>
      </c>
      <c r="B112" s="198" t="s">
        <v>164</v>
      </c>
      <c r="C112" s="134">
        <v>1</v>
      </c>
      <c r="D112" s="256">
        <f t="shared" si="27"/>
        <v>16779.36</v>
      </c>
      <c r="E112" s="134">
        <v>8067</v>
      </c>
      <c r="F112" s="256">
        <f t="shared" si="19"/>
        <v>1613.4</v>
      </c>
      <c r="G112" s="256">
        <f>E112*0.1</f>
        <v>806.7</v>
      </c>
      <c r="H112" s="256">
        <v>30</v>
      </c>
      <c r="I112" s="256">
        <f t="shared" si="20"/>
        <v>3146.13</v>
      </c>
      <c r="J112" s="256">
        <v>30</v>
      </c>
      <c r="K112" s="256">
        <f t="shared" si="21"/>
        <v>3146.13</v>
      </c>
      <c r="L112" s="256">
        <f>C112*D112-135.04</f>
        <v>16644.32</v>
      </c>
      <c r="M112" s="89"/>
      <c r="N112" s="85"/>
      <c r="O112" s="11"/>
      <c r="P112" s="11"/>
      <c r="Q112" s="11"/>
      <c r="R112" s="11"/>
      <c r="S112" s="11"/>
      <c r="T112" s="11"/>
      <c r="U112" s="11"/>
      <c r="V112" s="11"/>
      <c r="W112" s="11"/>
    </row>
    <row r="113" spans="1:23" s="1" customFormat="1" x14ac:dyDescent="0.25">
      <c r="A113" s="19" t="s">
        <v>564</v>
      </c>
      <c r="B113" s="198" t="s">
        <v>165</v>
      </c>
      <c r="C113" s="134">
        <v>0.75</v>
      </c>
      <c r="D113" s="256">
        <f t="shared" si="27"/>
        <v>16779.36</v>
      </c>
      <c r="E113" s="134">
        <v>8067</v>
      </c>
      <c r="F113" s="256">
        <f t="shared" si="19"/>
        <v>1613.4</v>
      </c>
      <c r="G113" s="256">
        <f>E113*0.1</f>
        <v>806.7</v>
      </c>
      <c r="H113" s="256">
        <v>30</v>
      </c>
      <c r="I113" s="256">
        <f t="shared" si="20"/>
        <v>3146.13</v>
      </c>
      <c r="J113" s="256">
        <v>30</v>
      </c>
      <c r="K113" s="256">
        <f t="shared" si="21"/>
        <v>3146.13</v>
      </c>
      <c r="L113" s="256">
        <f>C113*D113*2-75.62</f>
        <v>25093.420000000002</v>
      </c>
      <c r="M113" s="89"/>
      <c r="N113" s="85"/>
      <c r="O113" s="11"/>
      <c r="P113" s="11"/>
      <c r="Q113" s="11"/>
      <c r="R113" s="11"/>
      <c r="S113" s="11"/>
      <c r="T113" s="11"/>
      <c r="U113" s="11"/>
      <c r="V113" s="11"/>
      <c r="W113" s="11"/>
    </row>
    <row r="114" spans="1:23" s="1" customFormat="1" ht="25.5" x14ac:dyDescent="0.25">
      <c r="A114" s="19" t="s">
        <v>565</v>
      </c>
      <c r="B114" s="198" t="s">
        <v>166</v>
      </c>
      <c r="C114" s="134">
        <v>5</v>
      </c>
      <c r="D114" s="256">
        <f t="shared" si="27"/>
        <v>23532.774151743997</v>
      </c>
      <c r="E114" s="134">
        <v>10874</v>
      </c>
      <c r="F114" s="256">
        <f t="shared" si="19"/>
        <v>2174.8000000000002</v>
      </c>
      <c r="G114" s="256">
        <f>E114*0.15258266</f>
        <v>1659.1838448400001</v>
      </c>
      <c r="H114" s="256">
        <v>30</v>
      </c>
      <c r="I114" s="256">
        <f t="shared" si="20"/>
        <v>4412.3951534519992</v>
      </c>
      <c r="J114" s="256">
        <v>30</v>
      </c>
      <c r="K114" s="256">
        <f t="shared" si="21"/>
        <v>4412.3951534519992</v>
      </c>
      <c r="L114" s="256">
        <f>C114*D114*3-356.8</f>
        <v>352634.81227616</v>
      </c>
      <c r="M114" s="89"/>
      <c r="N114" s="85"/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1:23" s="1" customFormat="1" ht="25.5" x14ac:dyDescent="0.25">
      <c r="A115" s="19" t="s">
        <v>566</v>
      </c>
      <c r="B115" s="198" t="s">
        <v>167</v>
      </c>
      <c r="C115" s="134">
        <v>5</v>
      </c>
      <c r="D115" s="256">
        <f t="shared" si="27"/>
        <v>24357.759999999995</v>
      </c>
      <c r="E115" s="134">
        <v>10874</v>
      </c>
      <c r="F115" s="256">
        <f t="shared" si="19"/>
        <v>2174.8000000000002</v>
      </c>
      <c r="G115" s="256">
        <f>E115*0.2</f>
        <v>2174.8000000000002</v>
      </c>
      <c r="H115" s="256">
        <v>30</v>
      </c>
      <c r="I115" s="256">
        <f t="shared" si="20"/>
        <v>4567.079999999999</v>
      </c>
      <c r="J115" s="256">
        <v>30</v>
      </c>
      <c r="K115" s="256">
        <f t="shared" si="21"/>
        <v>4567.079999999999</v>
      </c>
      <c r="L115" s="256">
        <f>C115*D115*3-356.8</f>
        <v>365009.59999999992</v>
      </c>
      <c r="M115" s="89"/>
      <c r="N115" s="85"/>
      <c r="O115" s="11"/>
      <c r="P115" s="11"/>
      <c r="Q115" s="11"/>
      <c r="R115" s="11"/>
      <c r="S115" s="11"/>
      <c r="T115" s="11"/>
      <c r="U115" s="11"/>
      <c r="V115" s="11"/>
      <c r="W115" s="11"/>
    </row>
    <row r="116" spans="1:23" s="1" customFormat="1" ht="25.5" x14ac:dyDescent="0.25">
      <c r="A116" s="19" t="s">
        <v>567</v>
      </c>
      <c r="B116" s="198" t="s">
        <v>168</v>
      </c>
      <c r="C116" s="134">
        <v>2</v>
      </c>
      <c r="D116" s="256">
        <f t="shared" si="27"/>
        <v>13542.335999999999</v>
      </c>
      <c r="E116" s="134">
        <v>5532</v>
      </c>
      <c r="F116" s="256">
        <f t="shared" si="19"/>
        <v>1106.4000000000001</v>
      </c>
      <c r="G116" s="256">
        <f>E116*0.33</f>
        <v>1825.5600000000002</v>
      </c>
      <c r="H116" s="256">
        <v>30</v>
      </c>
      <c r="I116" s="256">
        <f t="shared" si="20"/>
        <v>2539.1880000000001</v>
      </c>
      <c r="J116" s="256">
        <v>30</v>
      </c>
      <c r="K116" s="256">
        <f t="shared" si="21"/>
        <v>2539.1880000000001</v>
      </c>
      <c r="L116" s="256">
        <f>C116*D116*6+180.66</f>
        <v>162688.69200000001</v>
      </c>
      <c r="M116" s="89"/>
      <c r="N116" s="85"/>
      <c r="O116" s="11"/>
      <c r="P116" s="11"/>
      <c r="Q116" s="11"/>
      <c r="R116" s="11"/>
      <c r="S116" s="11"/>
      <c r="T116" s="11"/>
      <c r="U116" s="11"/>
      <c r="V116" s="11"/>
      <c r="W116" s="11"/>
    </row>
    <row r="117" spans="1:23" s="1" customFormat="1" ht="25.5" x14ac:dyDescent="0.25">
      <c r="A117" s="19" t="s">
        <v>568</v>
      </c>
      <c r="B117" s="198" t="s">
        <v>169</v>
      </c>
      <c r="C117" s="134">
        <v>1</v>
      </c>
      <c r="D117" s="256">
        <f t="shared" si="27"/>
        <v>24357.759999999995</v>
      </c>
      <c r="E117" s="134">
        <v>10874</v>
      </c>
      <c r="F117" s="256">
        <f t="shared" si="19"/>
        <v>2174.8000000000002</v>
      </c>
      <c r="G117" s="256">
        <f t="shared" ref="G117:G122" si="28">E117*0.2</f>
        <v>2174.8000000000002</v>
      </c>
      <c r="H117" s="256">
        <v>30</v>
      </c>
      <c r="I117" s="256">
        <f t="shared" si="20"/>
        <v>4567.079999999999</v>
      </c>
      <c r="J117" s="256">
        <v>30</v>
      </c>
      <c r="K117" s="256">
        <f t="shared" si="21"/>
        <v>4567.079999999999</v>
      </c>
      <c r="L117" s="256">
        <f>C117*D117-35.36</f>
        <v>24322.399999999994</v>
      </c>
      <c r="M117" s="89"/>
      <c r="N117" s="85"/>
      <c r="O117" s="11"/>
      <c r="P117" s="11"/>
      <c r="Q117" s="11"/>
      <c r="R117" s="11"/>
      <c r="S117" s="11"/>
      <c r="T117" s="11"/>
      <c r="U117" s="11"/>
      <c r="V117" s="11"/>
      <c r="W117" s="11"/>
    </row>
    <row r="118" spans="1:23" s="1" customFormat="1" x14ac:dyDescent="0.25">
      <c r="A118" s="19" t="s">
        <v>569</v>
      </c>
      <c r="B118" s="198" t="s">
        <v>170</v>
      </c>
      <c r="C118" s="134">
        <v>1</v>
      </c>
      <c r="D118" s="256">
        <f t="shared" si="27"/>
        <v>24357.759999999995</v>
      </c>
      <c r="E118" s="134">
        <v>10874</v>
      </c>
      <c r="F118" s="256">
        <f t="shared" si="19"/>
        <v>2174.8000000000002</v>
      </c>
      <c r="G118" s="256">
        <f t="shared" si="28"/>
        <v>2174.8000000000002</v>
      </c>
      <c r="H118" s="256">
        <v>30</v>
      </c>
      <c r="I118" s="256">
        <f t="shared" si="20"/>
        <v>4567.079999999999</v>
      </c>
      <c r="J118" s="256">
        <v>30</v>
      </c>
      <c r="K118" s="256">
        <f t="shared" si="21"/>
        <v>4567.079999999999</v>
      </c>
      <c r="L118" s="256">
        <f>C118*D118-35.36</f>
        <v>24322.399999999994</v>
      </c>
      <c r="M118" s="89"/>
      <c r="N118" s="85"/>
      <c r="O118" s="11"/>
      <c r="P118" s="11"/>
      <c r="Q118" s="11"/>
      <c r="R118" s="11"/>
      <c r="S118" s="11"/>
      <c r="T118" s="11"/>
      <c r="U118" s="11"/>
      <c r="V118" s="11"/>
      <c r="W118" s="11"/>
    </row>
    <row r="119" spans="1:23" s="1" customFormat="1" x14ac:dyDescent="0.25">
      <c r="A119" s="19" t="s">
        <v>570</v>
      </c>
      <c r="B119" s="198" t="s">
        <v>171</v>
      </c>
      <c r="C119" s="134">
        <v>1</v>
      </c>
      <c r="D119" s="256">
        <f t="shared" si="27"/>
        <v>24357.759999999995</v>
      </c>
      <c r="E119" s="134">
        <v>10874</v>
      </c>
      <c r="F119" s="256">
        <f t="shared" si="19"/>
        <v>2174.8000000000002</v>
      </c>
      <c r="G119" s="256">
        <f t="shared" si="28"/>
        <v>2174.8000000000002</v>
      </c>
      <c r="H119" s="256">
        <v>30</v>
      </c>
      <c r="I119" s="256">
        <f t="shared" si="20"/>
        <v>4567.079999999999</v>
      </c>
      <c r="J119" s="256">
        <v>30</v>
      </c>
      <c r="K119" s="256">
        <f t="shared" si="21"/>
        <v>4567.079999999999</v>
      </c>
      <c r="L119" s="256">
        <f>C119*D119-35.36</f>
        <v>24322.399999999994</v>
      </c>
      <c r="M119" s="89"/>
      <c r="N119" s="85"/>
      <c r="O119" s="11"/>
      <c r="P119" s="11"/>
      <c r="Q119" s="11"/>
      <c r="R119" s="11"/>
      <c r="S119" s="11"/>
      <c r="T119" s="11"/>
      <c r="U119" s="11"/>
      <c r="V119" s="11"/>
      <c r="W119" s="11"/>
    </row>
    <row r="120" spans="1:23" s="1" customFormat="1" x14ac:dyDescent="0.25">
      <c r="A120" s="19" t="s">
        <v>571</v>
      </c>
      <c r="B120" s="198" t="s">
        <v>172</v>
      </c>
      <c r="C120" s="134">
        <v>0.5</v>
      </c>
      <c r="D120" s="256">
        <f t="shared" si="27"/>
        <v>24357.759999999995</v>
      </c>
      <c r="E120" s="134">
        <v>10874</v>
      </c>
      <c r="F120" s="256">
        <f t="shared" si="19"/>
        <v>2174.8000000000002</v>
      </c>
      <c r="G120" s="256">
        <f t="shared" si="28"/>
        <v>2174.8000000000002</v>
      </c>
      <c r="H120" s="256">
        <v>30</v>
      </c>
      <c r="I120" s="256">
        <f t="shared" si="20"/>
        <v>4567.079999999999</v>
      </c>
      <c r="J120" s="256">
        <v>30</v>
      </c>
      <c r="K120" s="256">
        <f t="shared" si="21"/>
        <v>4567.079999999999</v>
      </c>
      <c r="L120" s="256">
        <f>C120*D120-17.68</f>
        <v>12161.199999999997</v>
      </c>
      <c r="M120" s="89"/>
      <c r="N120" s="85"/>
      <c r="O120" s="11"/>
      <c r="P120" s="11"/>
      <c r="Q120" s="11"/>
      <c r="R120" s="11"/>
      <c r="S120" s="11"/>
      <c r="T120" s="11"/>
      <c r="U120" s="11"/>
      <c r="V120" s="11"/>
      <c r="W120" s="11"/>
    </row>
    <row r="121" spans="1:23" s="1" customFormat="1" ht="15.75" customHeight="1" x14ac:dyDescent="0.25">
      <c r="A121" s="19" t="s">
        <v>572</v>
      </c>
      <c r="B121" s="198" t="s">
        <v>173</v>
      </c>
      <c r="C121" s="134">
        <v>1</v>
      </c>
      <c r="D121" s="256">
        <f t="shared" si="27"/>
        <v>24357.759999999995</v>
      </c>
      <c r="E121" s="134">
        <v>10874</v>
      </c>
      <c r="F121" s="256">
        <f t="shared" si="19"/>
        <v>2174.8000000000002</v>
      </c>
      <c r="G121" s="256">
        <f t="shared" si="28"/>
        <v>2174.8000000000002</v>
      </c>
      <c r="H121" s="256">
        <v>30</v>
      </c>
      <c r="I121" s="256">
        <f t="shared" si="20"/>
        <v>4567.079999999999</v>
      </c>
      <c r="J121" s="256">
        <v>30</v>
      </c>
      <c r="K121" s="256">
        <f t="shared" si="21"/>
        <v>4567.079999999999</v>
      </c>
      <c r="L121" s="256">
        <f>C121*D121*1-35.36</f>
        <v>24322.399999999994</v>
      </c>
      <c r="M121" s="89"/>
      <c r="N121" s="85"/>
      <c r="O121" s="11"/>
      <c r="P121" s="11"/>
      <c r="Q121" s="11"/>
      <c r="R121" s="11"/>
      <c r="S121" s="11"/>
      <c r="T121" s="11"/>
      <c r="U121" s="11"/>
      <c r="V121" s="11"/>
      <c r="W121" s="11"/>
    </row>
    <row r="122" spans="1:23" s="1" customFormat="1" ht="15.75" customHeight="1" x14ac:dyDescent="0.25">
      <c r="A122" s="19" t="s">
        <v>573</v>
      </c>
      <c r="B122" s="198" t="s">
        <v>174</v>
      </c>
      <c r="C122" s="134">
        <v>1</v>
      </c>
      <c r="D122" s="256">
        <f t="shared" si="27"/>
        <v>24357.759999999995</v>
      </c>
      <c r="E122" s="134">
        <v>10874</v>
      </c>
      <c r="F122" s="256">
        <f t="shared" si="19"/>
        <v>2174.8000000000002</v>
      </c>
      <c r="G122" s="256">
        <f t="shared" si="28"/>
        <v>2174.8000000000002</v>
      </c>
      <c r="H122" s="256">
        <v>30</v>
      </c>
      <c r="I122" s="256">
        <f t="shared" si="20"/>
        <v>4567.079999999999</v>
      </c>
      <c r="J122" s="256">
        <v>30</v>
      </c>
      <c r="K122" s="256">
        <f t="shared" si="21"/>
        <v>4567.079999999999</v>
      </c>
      <c r="L122" s="256">
        <f>C122*D122-35.36</f>
        <v>24322.399999999994</v>
      </c>
      <c r="M122" s="89"/>
      <c r="N122" s="85"/>
      <c r="O122" s="11"/>
      <c r="P122" s="11"/>
      <c r="Q122" s="11"/>
      <c r="R122" s="11"/>
      <c r="S122" s="11"/>
      <c r="T122" s="11"/>
      <c r="U122" s="11"/>
      <c r="V122" s="11"/>
      <c r="W122" s="11"/>
    </row>
    <row r="123" spans="1:23" s="1" customFormat="1" ht="17.25" customHeight="1" x14ac:dyDescent="0.25">
      <c r="A123" s="19" t="s">
        <v>574</v>
      </c>
      <c r="B123" s="198" t="s">
        <v>175</v>
      </c>
      <c r="C123" s="134">
        <v>1</v>
      </c>
      <c r="D123" s="256">
        <f t="shared" si="27"/>
        <v>29529.760000000006</v>
      </c>
      <c r="E123" s="134">
        <v>14197</v>
      </c>
      <c r="F123" s="256">
        <f t="shared" si="19"/>
        <v>2839.4</v>
      </c>
      <c r="G123" s="256">
        <f t="shared" ref="G123" si="29">E123*0.1</f>
        <v>1419.7</v>
      </c>
      <c r="H123" s="256">
        <v>30</v>
      </c>
      <c r="I123" s="256">
        <f t="shared" si="20"/>
        <v>5536.8300000000008</v>
      </c>
      <c r="J123" s="256">
        <v>30</v>
      </c>
      <c r="K123" s="256">
        <f t="shared" si="21"/>
        <v>5536.8300000000008</v>
      </c>
      <c r="L123" s="256">
        <f>C123*D123+8.16</f>
        <v>29537.920000000006</v>
      </c>
      <c r="M123" s="89"/>
      <c r="N123" s="85"/>
      <c r="O123" s="11"/>
      <c r="P123" s="11"/>
      <c r="Q123" s="11"/>
      <c r="R123" s="11"/>
      <c r="S123" s="11"/>
      <c r="T123" s="11"/>
      <c r="U123" s="11"/>
      <c r="V123" s="11"/>
      <c r="W123" s="11"/>
    </row>
    <row r="124" spans="1:23" s="1" customFormat="1" x14ac:dyDescent="0.25">
      <c r="A124" s="19" t="s">
        <v>575</v>
      </c>
      <c r="B124" s="198" t="s">
        <v>176</v>
      </c>
      <c r="C124" s="134">
        <v>0.25</v>
      </c>
      <c r="D124" s="256">
        <f t="shared" si="27"/>
        <v>11685.440000000002</v>
      </c>
      <c r="E124" s="134">
        <v>5618</v>
      </c>
      <c r="F124" s="256">
        <f t="shared" si="19"/>
        <v>1123.5999999999999</v>
      </c>
      <c r="G124" s="256">
        <f>E124*0.1</f>
        <v>561.80000000000007</v>
      </c>
      <c r="H124" s="256">
        <v>30</v>
      </c>
      <c r="I124" s="256">
        <f t="shared" si="20"/>
        <v>2191.0200000000004</v>
      </c>
      <c r="J124" s="256">
        <v>30</v>
      </c>
      <c r="K124" s="256">
        <f t="shared" si="21"/>
        <v>2191.0200000000004</v>
      </c>
      <c r="L124" s="256">
        <f>C124*D124*6-113.44</f>
        <v>17414.720000000005</v>
      </c>
      <c r="M124" s="89"/>
      <c r="N124" s="85"/>
      <c r="O124" s="11"/>
      <c r="P124" s="11"/>
      <c r="Q124" s="11"/>
      <c r="R124" s="11"/>
      <c r="S124" s="11"/>
      <c r="T124" s="11"/>
      <c r="U124" s="11"/>
      <c r="V124" s="11"/>
      <c r="W124" s="11"/>
    </row>
    <row r="125" spans="1:23" s="1" customFormat="1" x14ac:dyDescent="0.25">
      <c r="A125" s="19" t="s">
        <v>576</v>
      </c>
      <c r="B125" s="198" t="s">
        <v>177</v>
      </c>
      <c r="C125" s="134">
        <v>0.25</v>
      </c>
      <c r="D125" s="256">
        <f t="shared" si="27"/>
        <v>11685.440000000002</v>
      </c>
      <c r="E125" s="134">
        <v>5618</v>
      </c>
      <c r="F125" s="256">
        <f t="shared" si="19"/>
        <v>1123.5999999999999</v>
      </c>
      <c r="G125" s="256">
        <f>E125*0.1</f>
        <v>561.80000000000007</v>
      </c>
      <c r="H125" s="256">
        <v>30</v>
      </c>
      <c r="I125" s="256">
        <f t="shared" si="20"/>
        <v>2191.0200000000004</v>
      </c>
      <c r="J125" s="256">
        <v>30</v>
      </c>
      <c r="K125" s="256">
        <f t="shared" si="21"/>
        <v>2191.0200000000004</v>
      </c>
      <c r="L125" s="256">
        <f>C125*D125*3-38.72</f>
        <v>8725.3600000000024</v>
      </c>
      <c r="M125" s="89"/>
      <c r="N125" s="85"/>
      <c r="O125" s="11"/>
      <c r="P125" s="11"/>
      <c r="Q125" s="11"/>
      <c r="R125" s="11"/>
      <c r="S125" s="11"/>
      <c r="T125" s="11"/>
      <c r="U125" s="11"/>
      <c r="V125" s="11"/>
      <c r="W125" s="11"/>
    </row>
    <row r="126" spans="1:23" s="1" customFormat="1" ht="25.5" x14ac:dyDescent="0.25">
      <c r="A126" s="19" t="s">
        <v>577</v>
      </c>
      <c r="B126" s="198" t="s">
        <v>178</v>
      </c>
      <c r="C126" s="134">
        <v>1</v>
      </c>
      <c r="D126" s="256">
        <f t="shared" si="27"/>
        <v>11685.440000000002</v>
      </c>
      <c r="E126" s="134">
        <v>5618</v>
      </c>
      <c r="F126" s="256">
        <f t="shared" si="19"/>
        <v>1123.5999999999999</v>
      </c>
      <c r="G126" s="256">
        <f>E126*0.1</f>
        <v>561.80000000000007</v>
      </c>
      <c r="H126" s="256">
        <v>30</v>
      </c>
      <c r="I126" s="256">
        <f t="shared" si="20"/>
        <v>2191.0200000000004</v>
      </c>
      <c r="J126" s="256">
        <v>30</v>
      </c>
      <c r="K126" s="256">
        <f t="shared" si="21"/>
        <v>2191.0200000000004</v>
      </c>
      <c r="L126" s="256">
        <f>C126*D126*2+52.1</f>
        <v>23422.980000000003</v>
      </c>
      <c r="M126" s="89"/>
      <c r="N126" s="85"/>
      <c r="O126" s="11"/>
      <c r="P126" s="11"/>
      <c r="Q126" s="11"/>
      <c r="R126" s="11"/>
      <c r="S126" s="11"/>
      <c r="T126" s="11"/>
      <c r="U126" s="11"/>
      <c r="V126" s="11"/>
      <c r="W126" s="11"/>
    </row>
    <row r="127" spans="1:23" s="1" customFormat="1" x14ac:dyDescent="0.25">
      <c r="A127" s="167" t="s">
        <v>427</v>
      </c>
      <c r="B127" s="164" t="s">
        <v>1</v>
      </c>
      <c r="C127" s="30">
        <f>SUM(C99:C126)</f>
        <v>31.5</v>
      </c>
      <c r="D127" s="164" t="s">
        <v>1</v>
      </c>
      <c r="E127" s="164" t="s">
        <v>1</v>
      </c>
      <c r="F127" s="164" t="s">
        <v>1</v>
      </c>
      <c r="G127" s="164" t="s">
        <v>1</v>
      </c>
      <c r="H127" s="164" t="s">
        <v>1</v>
      </c>
      <c r="I127" s="164" t="s">
        <v>1</v>
      </c>
      <c r="J127" s="164" t="s">
        <v>1</v>
      </c>
      <c r="K127" s="164" t="s">
        <v>1</v>
      </c>
      <c r="L127" s="30">
        <f>SUM(L99:L126)</f>
        <v>1399999.9959461594</v>
      </c>
      <c r="M127" s="157"/>
      <c r="N127" s="85"/>
      <c r="O127" s="11"/>
      <c r="P127" s="11"/>
      <c r="Q127" s="11"/>
      <c r="R127" s="11"/>
      <c r="S127" s="11"/>
      <c r="T127" s="11"/>
      <c r="U127" s="11"/>
      <c r="V127" s="11"/>
      <c r="W127" s="11"/>
    </row>
    <row r="128" spans="1:23" s="1" customFormat="1" x14ac:dyDescent="0.25"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11"/>
      <c r="P128" s="11"/>
      <c r="Q128" s="11"/>
      <c r="R128" s="11"/>
      <c r="S128" s="11"/>
      <c r="T128" s="11"/>
      <c r="U128" s="11"/>
      <c r="V128" s="11"/>
      <c r="W128" s="11"/>
    </row>
    <row r="129" spans="1:23" s="1" customFormat="1" x14ac:dyDescent="0.25">
      <c r="A129" s="8" t="s">
        <v>395</v>
      </c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11"/>
      <c r="P129" s="11"/>
      <c r="Q129" s="11"/>
      <c r="R129" s="11"/>
      <c r="S129" s="11"/>
      <c r="T129" s="11"/>
      <c r="U129" s="11"/>
      <c r="V129" s="11"/>
      <c r="W129" s="11"/>
    </row>
    <row r="130" spans="1:23" s="1" customFormat="1" x14ac:dyDescent="0.25"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P130" s="11"/>
      <c r="Q130" s="11"/>
      <c r="R130" s="11"/>
      <c r="S130" s="11"/>
      <c r="T130" s="11"/>
      <c r="U130" s="11"/>
      <c r="V130" s="11"/>
      <c r="W130" s="11"/>
    </row>
    <row r="131" spans="1:23" s="1" customFormat="1" ht="29.25" customHeight="1" x14ac:dyDescent="0.25">
      <c r="A131" s="310" t="s">
        <v>519</v>
      </c>
      <c r="B131" s="310"/>
      <c r="C131" s="310"/>
      <c r="D131" s="310"/>
      <c r="E131" s="310"/>
      <c r="F131" s="310"/>
      <c r="G131" s="310"/>
      <c r="H131" s="310"/>
      <c r="I131" s="310"/>
      <c r="J131" s="310"/>
      <c r="K131" s="310"/>
      <c r="L131" s="310"/>
      <c r="M131" s="173"/>
      <c r="N131" s="172"/>
      <c r="P131" s="11"/>
      <c r="Q131" s="11"/>
      <c r="R131" s="11"/>
      <c r="S131" s="11"/>
      <c r="T131" s="11"/>
      <c r="U131" s="11"/>
      <c r="V131" s="11"/>
      <c r="W131" s="11"/>
    </row>
    <row r="132" spans="1:23" s="1" customFormat="1" x14ac:dyDescent="0.25"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P132" s="11"/>
      <c r="Q132" s="11"/>
      <c r="R132" s="11"/>
      <c r="S132" s="11"/>
      <c r="T132" s="11"/>
      <c r="U132" s="11"/>
      <c r="V132" s="11"/>
      <c r="W132" s="11"/>
    </row>
    <row r="133" spans="1:23" s="1" customFormat="1" x14ac:dyDescent="0.25">
      <c r="A133" s="333" t="s">
        <v>193</v>
      </c>
      <c r="B133" s="336" t="s">
        <v>72</v>
      </c>
      <c r="C133" s="273" t="s">
        <v>43</v>
      </c>
      <c r="D133" s="326"/>
      <c r="E133" s="274"/>
      <c r="F133" s="85"/>
      <c r="G133" s="85"/>
      <c r="H133" s="85"/>
      <c r="I133" s="85"/>
      <c r="J133" s="85"/>
      <c r="K133" s="85"/>
      <c r="L133" s="85"/>
      <c r="M133" s="85"/>
      <c r="P133" s="11"/>
      <c r="Q133" s="11"/>
      <c r="R133" s="11"/>
      <c r="S133" s="11"/>
      <c r="T133" s="11"/>
      <c r="U133" s="11"/>
      <c r="V133" s="11"/>
      <c r="W133" s="11"/>
    </row>
    <row r="134" spans="1:23" s="1" customFormat="1" x14ac:dyDescent="0.25">
      <c r="A134" s="334"/>
      <c r="B134" s="337"/>
      <c r="C134" s="254" t="s">
        <v>399</v>
      </c>
      <c r="D134" s="254" t="s">
        <v>611</v>
      </c>
      <c r="E134" s="254" t="s">
        <v>650</v>
      </c>
      <c r="F134" s="85"/>
      <c r="G134" s="85"/>
      <c r="H134" s="85"/>
      <c r="I134" s="85"/>
      <c r="J134" s="85"/>
      <c r="K134" s="85"/>
      <c r="L134" s="85"/>
      <c r="M134" s="85"/>
      <c r="P134" s="11"/>
      <c r="Q134" s="11"/>
      <c r="R134" s="11"/>
      <c r="S134" s="11"/>
      <c r="T134" s="11"/>
      <c r="U134" s="11"/>
      <c r="V134" s="11"/>
      <c r="W134" s="11"/>
    </row>
    <row r="135" spans="1:23" s="1" customFormat="1" ht="38.25" x14ac:dyDescent="0.25">
      <c r="A135" s="335"/>
      <c r="B135" s="338"/>
      <c r="C135" s="170" t="s">
        <v>44</v>
      </c>
      <c r="D135" s="170" t="s">
        <v>45</v>
      </c>
      <c r="E135" s="170" t="s">
        <v>46</v>
      </c>
      <c r="F135" s="85"/>
      <c r="G135" s="85"/>
      <c r="H135" s="85"/>
      <c r="I135" s="85"/>
      <c r="J135" s="85"/>
      <c r="K135" s="85"/>
      <c r="L135" s="85"/>
      <c r="M135" s="85"/>
      <c r="P135" s="11"/>
      <c r="Q135" s="11"/>
      <c r="R135" s="11"/>
      <c r="S135" s="11"/>
      <c r="T135" s="11"/>
      <c r="U135" s="11"/>
      <c r="V135" s="11"/>
      <c r="W135" s="11"/>
    </row>
    <row r="136" spans="1:23" s="1" customFormat="1" x14ac:dyDescent="0.25">
      <c r="A136" s="167" t="s">
        <v>190</v>
      </c>
      <c r="B136" s="164" t="s">
        <v>73</v>
      </c>
      <c r="C136" s="164" t="s">
        <v>47</v>
      </c>
      <c r="D136" s="164" t="s">
        <v>48</v>
      </c>
      <c r="E136" s="164" t="s">
        <v>49</v>
      </c>
      <c r="F136" s="85"/>
      <c r="G136" s="85"/>
      <c r="H136" s="85"/>
      <c r="I136" s="85"/>
      <c r="J136" s="85"/>
      <c r="K136" s="85"/>
      <c r="L136" s="85"/>
      <c r="M136" s="85"/>
      <c r="P136" s="11"/>
      <c r="Q136" s="11"/>
      <c r="R136" s="11"/>
      <c r="S136" s="11"/>
      <c r="T136" s="11"/>
      <c r="U136" s="11"/>
      <c r="V136" s="11"/>
      <c r="W136" s="11"/>
    </row>
    <row r="137" spans="1:23" s="1" customFormat="1" ht="40.5" hidden="1" customHeight="1" x14ac:dyDescent="0.25">
      <c r="A137" s="4" t="s">
        <v>453</v>
      </c>
      <c r="B137" s="164" t="s">
        <v>74</v>
      </c>
      <c r="C137" s="164">
        <v>0</v>
      </c>
      <c r="D137" s="164">
        <v>0</v>
      </c>
      <c r="E137" s="164">
        <v>0</v>
      </c>
      <c r="F137" s="85"/>
      <c r="G137" s="85"/>
      <c r="H137" s="85"/>
      <c r="I137" s="85"/>
      <c r="J137" s="85"/>
      <c r="K137" s="85"/>
      <c r="L137" s="85"/>
      <c r="M137" s="85"/>
      <c r="N137" s="85"/>
      <c r="O137" s="11"/>
      <c r="P137" s="11"/>
      <c r="Q137" s="11"/>
      <c r="R137" s="11"/>
      <c r="S137" s="11"/>
      <c r="T137" s="11"/>
      <c r="U137" s="11"/>
      <c r="V137" s="11"/>
      <c r="W137" s="11"/>
    </row>
    <row r="138" spans="1:23" s="1" customFormat="1" ht="55.5" hidden="1" customHeight="1" x14ac:dyDescent="0.25">
      <c r="A138" s="4" t="s">
        <v>454</v>
      </c>
      <c r="B138" s="164" t="s">
        <v>75</v>
      </c>
      <c r="C138" s="164">
        <v>0</v>
      </c>
      <c r="D138" s="164">
        <v>0</v>
      </c>
      <c r="E138" s="164">
        <v>0</v>
      </c>
      <c r="F138" s="85"/>
      <c r="G138" s="85"/>
      <c r="H138" s="85"/>
      <c r="I138" s="85"/>
      <c r="J138" s="85"/>
      <c r="K138" s="85"/>
      <c r="L138" s="85"/>
      <c r="M138" s="85"/>
      <c r="N138" s="85"/>
      <c r="O138" s="11"/>
      <c r="P138" s="11"/>
      <c r="Q138" s="11"/>
      <c r="R138" s="11"/>
      <c r="S138" s="11"/>
      <c r="T138" s="11"/>
      <c r="U138" s="11"/>
      <c r="V138" s="11"/>
      <c r="W138" s="11"/>
    </row>
    <row r="139" spans="1:23" s="1" customFormat="1" ht="38.25" customHeight="1" x14ac:dyDescent="0.25">
      <c r="A139" s="4" t="s">
        <v>455</v>
      </c>
      <c r="B139" s="164" t="s">
        <v>76</v>
      </c>
      <c r="C139" s="164">
        <f>F162</f>
        <v>422799.99877574015</v>
      </c>
      <c r="D139" s="164">
        <f>G162</f>
        <v>422799.99877574015</v>
      </c>
      <c r="E139" s="164">
        <f>H162</f>
        <v>422799.99877574015</v>
      </c>
      <c r="F139" s="85"/>
      <c r="G139" s="85"/>
      <c r="H139" s="85"/>
      <c r="I139" s="85"/>
      <c r="J139" s="85"/>
      <c r="K139" s="85"/>
      <c r="L139" s="85"/>
      <c r="M139" s="85"/>
      <c r="P139" s="11"/>
      <c r="Q139" s="11"/>
      <c r="R139" s="11"/>
      <c r="S139" s="11"/>
      <c r="T139" s="11"/>
      <c r="U139" s="11"/>
      <c r="V139" s="11"/>
      <c r="W139" s="11"/>
    </row>
    <row r="140" spans="1:23" s="1" customFormat="1" ht="53.25" hidden="1" customHeight="1" x14ac:dyDescent="0.25">
      <c r="A140" s="4" t="s">
        <v>456</v>
      </c>
      <c r="B140" s="164" t="s">
        <v>86</v>
      </c>
      <c r="C140" s="164">
        <v>0</v>
      </c>
      <c r="D140" s="164">
        <v>0</v>
      </c>
      <c r="E140" s="164">
        <v>0</v>
      </c>
      <c r="F140" s="85"/>
      <c r="G140" s="85"/>
      <c r="H140" s="85"/>
      <c r="I140" s="85"/>
      <c r="J140" s="85"/>
      <c r="K140" s="85"/>
      <c r="L140" s="85"/>
      <c r="M140" s="85"/>
      <c r="P140" s="11"/>
      <c r="Q140" s="11"/>
      <c r="R140" s="11"/>
      <c r="S140" s="11"/>
      <c r="T140" s="11"/>
      <c r="U140" s="11"/>
      <c r="V140" s="11"/>
      <c r="W140" s="11"/>
    </row>
    <row r="141" spans="1:23" s="1" customFormat="1" ht="56.25" hidden="1" customHeight="1" x14ac:dyDescent="0.25">
      <c r="A141" s="4" t="s">
        <v>457</v>
      </c>
      <c r="B141" s="164" t="s">
        <v>87</v>
      </c>
      <c r="C141" s="164">
        <v>0</v>
      </c>
      <c r="D141" s="164">
        <v>0</v>
      </c>
      <c r="E141" s="164">
        <v>0</v>
      </c>
      <c r="F141" s="85"/>
      <c r="G141" s="85"/>
      <c r="H141" s="85"/>
      <c r="I141" s="85"/>
      <c r="J141" s="85"/>
      <c r="K141" s="85"/>
      <c r="L141" s="85"/>
      <c r="M141" s="85"/>
      <c r="P141" s="11"/>
      <c r="Q141" s="11"/>
      <c r="R141" s="11"/>
      <c r="S141" s="11"/>
      <c r="T141" s="11"/>
      <c r="U141" s="11"/>
      <c r="V141" s="11"/>
      <c r="W141" s="11"/>
    </row>
    <row r="142" spans="1:23" s="1" customFormat="1" ht="65.25" customHeight="1" x14ac:dyDescent="0.25">
      <c r="A142" s="4" t="s">
        <v>458</v>
      </c>
      <c r="B142" s="164" t="s">
        <v>88</v>
      </c>
      <c r="C142" s="30">
        <f>C139</f>
        <v>422799.99877574015</v>
      </c>
      <c r="D142" s="30">
        <f>D139</f>
        <v>422799.99877574015</v>
      </c>
      <c r="E142" s="30">
        <f>E139</f>
        <v>422799.99877574015</v>
      </c>
      <c r="F142" s="85"/>
      <c r="G142" s="85"/>
      <c r="H142" s="85"/>
      <c r="I142" s="85"/>
      <c r="J142" s="85"/>
      <c r="K142" s="85"/>
      <c r="L142" s="85"/>
      <c r="M142" s="85"/>
      <c r="P142" s="11"/>
      <c r="Q142" s="11"/>
      <c r="R142" s="11"/>
      <c r="S142" s="11"/>
      <c r="T142" s="11"/>
      <c r="U142" s="11"/>
      <c r="V142" s="11"/>
      <c r="W142" s="11"/>
    </row>
    <row r="143" spans="1:23" s="1" customFormat="1" x14ac:dyDescent="0.25">
      <c r="A143" s="25"/>
      <c r="B143" s="103"/>
      <c r="C143" s="90"/>
      <c r="D143" s="90"/>
      <c r="E143" s="102"/>
      <c r="F143" s="85"/>
      <c r="G143" s="85"/>
      <c r="H143" s="85"/>
      <c r="I143" s="85"/>
      <c r="J143" s="85"/>
      <c r="K143" s="85"/>
      <c r="L143" s="85"/>
      <c r="M143" s="85"/>
      <c r="P143" s="11"/>
      <c r="Q143" s="11"/>
      <c r="R143" s="11"/>
      <c r="S143" s="11"/>
      <c r="T143" s="11"/>
      <c r="U143" s="11"/>
      <c r="V143" s="11"/>
      <c r="W143" s="11"/>
    </row>
    <row r="144" spans="1:23" s="1" customFormat="1" x14ac:dyDescent="0.25">
      <c r="A144" s="320" t="s">
        <v>603</v>
      </c>
      <c r="B144" s="320"/>
      <c r="C144" s="320"/>
      <c r="D144" s="320"/>
      <c r="E144" s="320"/>
      <c r="F144" s="320"/>
      <c r="G144" s="320"/>
      <c r="H144" s="320"/>
      <c r="I144" s="320"/>
      <c r="J144" s="320"/>
      <c r="K144" s="320"/>
      <c r="L144" s="320"/>
      <c r="M144" s="166"/>
      <c r="P144" s="11"/>
      <c r="Q144" s="11"/>
      <c r="R144" s="11"/>
      <c r="S144" s="11"/>
      <c r="T144" s="11"/>
      <c r="U144" s="11"/>
      <c r="V144" s="11"/>
      <c r="W144" s="11"/>
    </row>
    <row r="145" spans="1:23" s="1" customFormat="1" x14ac:dyDescent="0.25"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1:23" s="1" customFormat="1" ht="29.25" customHeight="1" x14ac:dyDescent="0.25">
      <c r="A146" s="269" t="s">
        <v>459</v>
      </c>
      <c r="B146" s="307" t="s">
        <v>72</v>
      </c>
      <c r="C146" s="308" t="s">
        <v>59</v>
      </c>
      <c r="D146" s="308"/>
      <c r="E146" s="308"/>
      <c r="F146" s="331" t="s">
        <v>116</v>
      </c>
      <c r="G146" s="332"/>
      <c r="H146" s="339"/>
      <c r="I146" s="85"/>
      <c r="J146" s="85"/>
      <c r="K146" s="85"/>
      <c r="L146" s="85"/>
      <c r="M146" s="85"/>
      <c r="N146" s="85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1:23" s="1" customFormat="1" x14ac:dyDescent="0.25">
      <c r="A147" s="269"/>
      <c r="B147" s="307"/>
      <c r="C147" s="254" t="s">
        <v>399</v>
      </c>
      <c r="D147" s="254" t="s">
        <v>611</v>
      </c>
      <c r="E147" s="254" t="s">
        <v>650</v>
      </c>
      <c r="F147" s="254" t="s">
        <v>399</v>
      </c>
      <c r="G147" s="254" t="s">
        <v>611</v>
      </c>
      <c r="H147" s="254" t="s">
        <v>650</v>
      </c>
      <c r="I147" s="85"/>
      <c r="J147" s="85"/>
      <c r="K147" s="85"/>
      <c r="L147" s="85"/>
      <c r="M147" s="85"/>
      <c r="N147" s="85"/>
      <c r="O147" s="11"/>
      <c r="P147" s="11"/>
      <c r="Q147" s="11"/>
      <c r="R147" s="11"/>
      <c r="S147" s="11"/>
      <c r="T147" s="11"/>
      <c r="U147" s="11"/>
      <c r="V147" s="11"/>
    </row>
    <row r="148" spans="1:23" s="1" customFormat="1" ht="44.25" customHeight="1" x14ac:dyDescent="0.25">
      <c r="A148" s="269"/>
      <c r="B148" s="307"/>
      <c r="C148" s="169" t="s">
        <v>44</v>
      </c>
      <c r="D148" s="170" t="s">
        <v>45</v>
      </c>
      <c r="E148" s="169" t="s">
        <v>46</v>
      </c>
      <c r="F148" s="169" t="s">
        <v>44</v>
      </c>
      <c r="G148" s="170" t="s">
        <v>46</v>
      </c>
      <c r="H148" s="149" t="s">
        <v>46</v>
      </c>
      <c r="I148" s="85"/>
      <c r="J148" s="85"/>
      <c r="K148" s="85"/>
      <c r="L148" s="85"/>
      <c r="M148" s="85"/>
      <c r="N148" s="85"/>
      <c r="O148" s="11"/>
      <c r="P148" s="11"/>
      <c r="Q148" s="11"/>
      <c r="R148" s="11"/>
      <c r="S148" s="11"/>
      <c r="T148" s="11"/>
      <c r="U148" s="11"/>
      <c r="V148" s="11"/>
    </row>
    <row r="149" spans="1:23" s="1" customFormat="1" x14ac:dyDescent="0.25">
      <c r="A149" s="167" t="s">
        <v>190</v>
      </c>
      <c r="B149" s="164" t="s">
        <v>73</v>
      </c>
      <c r="C149" s="164" t="s">
        <v>47</v>
      </c>
      <c r="D149" s="164" t="s">
        <v>48</v>
      </c>
      <c r="E149" s="164" t="s">
        <v>49</v>
      </c>
      <c r="F149" s="164" t="s">
        <v>52</v>
      </c>
      <c r="G149" s="164" t="s">
        <v>91</v>
      </c>
      <c r="H149" s="148"/>
      <c r="I149" s="85"/>
      <c r="J149" s="85"/>
      <c r="K149" s="85"/>
      <c r="L149" s="85"/>
      <c r="M149" s="85"/>
      <c r="N149" s="85"/>
      <c r="O149" s="11"/>
      <c r="P149" s="11"/>
      <c r="Q149" s="11"/>
      <c r="R149" s="11"/>
      <c r="S149" s="11"/>
      <c r="T149" s="11"/>
      <c r="U149" s="11"/>
      <c r="V149" s="11"/>
    </row>
    <row r="150" spans="1:23" s="1" customFormat="1" ht="38.25" x14ac:dyDescent="0.25">
      <c r="A150" s="4" t="s">
        <v>460</v>
      </c>
      <c r="B150" s="164" t="s">
        <v>74</v>
      </c>
      <c r="C150" s="164" t="s">
        <v>1</v>
      </c>
      <c r="D150" s="164" t="s">
        <v>1</v>
      </c>
      <c r="E150" s="164" t="s">
        <v>1</v>
      </c>
      <c r="F150" s="164">
        <f>F151+F152+F153</f>
        <v>307999.99910815508</v>
      </c>
      <c r="G150" s="164">
        <f t="shared" ref="G150" si="30">G151+G152+G153</f>
        <v>307999.99910815508</v>
      </c>
      <c r="H150" s="164">
        <f>H151+H152+H153</f>
        <v>307999.99910815508</v>
      </c>
      <c r="I150" s="85"/>
      <c r="J150" s="85"/>
      <c r="K150" s="85"/>
      <c r="L150" s="85"/>
      <c r="M150" s="85"/>
      <c r="N150" s="85"/>
      <c r="O150" s="11"/>
      <c r="P150" s="11"/>
      <c r="Q150" s="11"/>
      <c r="R150" s="11"/>
      <c r="S150" s="11"/>
      <c r="T150" s="11"/>
      <c r="U150" s="11"/>
      <c r="V150" s="11"/>
    </row>
    <row r="151" spans="1:23" s="1" customFormat="1" x14ac:dyDescent="0.25">
      <c r="A151" s="4" t="s">
        <v>461</v>
      </c>
      <c r="B151" s="164" t="s">
        <v>117</v>
      </c>
      <c r="C151" s="164">
        <f>L53</f>
        <v>1399999.9959461594</v>
      </c>
      <c r="D151" s="164">
        <f>L90</f>
        <v>1399999.9959461594</v>
      </c>
      <c r="E151" s="164">
        <f>L127</f>
        <v>1399999.9959461594</v>
      </c>
      <c r="F151" s="164">
        <f>C151*22%</f>
        <v>307999.99910815508</v>
      </c>
      <c r="G151" s="164">
        <f>D151*22%</f>
        <v>307999.99910815508</v>
      </c>
      <c r="H151" s="164">
        <f>E151*22%</f>
        <v>307999.99910815508</v>
      </c>
      <c r="I151" s="85"/>
      <c r="J151" s="85"/>
      <c r="K151" s="85"/>
      <c r="L151" s="85"/>
      <c r="M151" s="85"/>
      <c r="N151" s="85"/>
      <c r="O151" s="11"/>
      <c r="P151" s="11"/>
      <c r="Q151" s="11"/>
      <c r="R151" s="11"/>
      <c r="S151" s="11"/>
      <c r="T151" s="11"/>
      <c r="U151" s="11"/>
      <c r="V151" s="11"/>
    </row>
    <row r="152" spans="1:23" s="1" customFormat="1" x14ac:dyDescent="0.25">
      <c r="A152" s="171" t="s">
        <v>462</v>
      </c>
      <c r="B152" s="164" t="s">
        <v>118</v>
      </c>
      <c r="C152" s="164" t="s">
        <v>1</v>
      </c>
      <c r="D152" s="164" t="s">
        <v>1</v>
      </c>
      <c r="E152" s="164" t="s">
        <v>1</v>
      </c>
      <c r="F152" s="95"/>
      <c r="G152" s="95"/>
      <c r="H152" s="148"/>
      <c r="I152" s="85"/>
      <c r="J152" s="85"/>
      <c r="K152" s="85"/>
      <c r="L152" s="85"/>
      <c r="M152" s="85"/>
      <c r="N152" s="85"/>
      <c r="O152" s="11"/>
      <c r="P152" s="11"/>
      <c r="Q152" s="11"/>
      <c r="R152" s="11"/>
      <c r="S152" s="11"/>
      <c r="T152" s="11"/>
      <c r="U152" s="11"/>
      <c r="V152" s="11"/>
    </row>
    <row r="153" spans="1:23" s="1" customFormat="1" ht="63.75" hidden="1" x14ac:dyDescent="0.25">
      <c r="A153" s="4" t="s">
        <v>463</v>
      </c>
      <c r="B153" s="164" t="s">
        <v>119</v>
      </c>
      <c r="C153" s="164" t="s">
        <v>1</v>
      </c>
      <c r="D153" s="164" t="s">
        <v>1</v>
      </c>
      <c r="E153" s="164" t="s">
        <v>1</v>
      </c>
      <c r="F153" s="164"/>
      <c r="G153" s="164"/>
      <c r="H153" s="148"/>
      <c r="I153" s="85"/>
      <c r="J153" s="85"/>
      <c r="K153" s="85"/>
      <c r="L153" s="85"/>
      <c r="M153" s="85"/>
      <c r="N153" s="85"/>
      <c r="O153" s="11"/>
      <c r="P153" s="11"/>
      <c r="Q153" s="11"/>
      <c r="R153" s="11"/>
      <c r="S153" s="11"/>
      <c r="T153" s="11"/>
      <c r="U153" s="11"/>
      <c r="V153" s="11"/>
    </row>
    <row r="154" spans="1:23" s="1" customFormat="1" ht="39.75" customHeight="1" x14ac:dyDescent="0.25">
      <c r="A154" s="4" t="s">
        <v>464</v>
      </c>
      <c r="B154" s="164" t="s">
        <v>75</v>
      </c>
      <c r="C154" s="164" t="s">
        <v>1</v>
      </c>
      <c r="D154" s="164" t="s">
        <v>1</v>
      </c>
      <c r="E154" s="164" t="s">
        <v>1</v>
      </c>
      <c r="F154" s="164">
        <f>F155+F156+F157+F158</f>
        <v>43399.999874330941</v>
      </c>
      <c r="G154" s="164">
        <f>G155+G156+G157+G158</f>
        <v>43399.999874330941</v>
      </c>
      <c r="H154" s="164">
        <f>H155+H156+H157+H158</f>
        <v>43399.999874330941</v>
      </c>
      <c r="I154" s="85"/>
      <c r="J154" s="85"/>
      <c r="K154" s="104"/>
      <c r="L154" s="85"/>
      <c r="M154" s="85"/>
      <c r="N154" s="85"/>
      <c r="O154" s="11"/>
      <c r="P154" s="11"/>
      <c r="Q154" s="11"/>
      <c r="R154" s="11"/>
      <c r="S154" s="11"/>
      <c r="T154" s="11"/>
      <c r="U154" s="11"/>
      <c r="V154" s="11"/>
    </row>
    <row r="155" spans="1:23" s="1" customFormat="1" ht="65.25" customHeight="1" x14ac:dyDescent="0.25">
      <c r="A155" s="4" t="s">
        <v>465</v>
      </c>
      <c r="B155" s="164" t="s">
        <v>120</v>
      </c>
      <c r="C155" s="164">
        <f>C151</f>
        <v>1399999.9959461594</v>
      </c>
      <c r="D155" s="164">
        <f>D151</f>
        <v>1399999.9959461594</v>
      </c>
      <c r="E155" s="164">
        <f>E151</f>
        <v>1399999.9959461594</v>
      </c>
      <c r="F155" s="164">
        <f>C155*2.9%</f>
        <v>40599.99988243862</v>
      </c>
      <c r="G155" s="164">
        <f>D155*2.9%</f>
        <v>40599.99988243862</v>
      </c>
      <c r="H155" s="164">
        <f>E155*2.9%</f>
        <v>40599.99988243862</v>
      </c>
      <c r="I155" s="85"/>
      <c r="J155" s="85"/>
      <c r="K155" s="104"/>
      <c r="L155" s="85"/>
      <c r="M155" s="85"/>
      <c r="N155" s="85"/>
      <c r="O155" s="11"/>
      <c r="P155" s="11"/>
      <c r="Q155" s="11"/>
      <c r="R155" s="11"/>
      <c r="S155" s="11"/>
      <c r="T155" s="11"/>
      <c r="U155" s="11"/>
      <c r="V155" s="11"/>
    </row>
    <row r="156" spans="1:23" s="1" customFormat="1" ht="84.75" hidden="1" customHeight="1" x14ac:dyDescent="0.25">
      <c r="A156" s="4" t="s">
        <v>466</v>
      </c>
      <c r="B156" s="164" t="s">
        <v>121</v>
      </c>
      <c r="C156" s="164" t="s">
        <v>1</v>
      </c>
      <c r="D156" s="164" t="s">
        <v>1</v>
      </c>
      <c r="E156" s="164" t="s">
        <v>1</v>
      </c>
      <c r="F156" s="164"/>
      <c r="G156" s="164"/>
      <c r="H156" s="164"/>
      <c r="I156" s="85"/>
      <c r="J156" s="85"/>
      <c r="K156" s="104"/>
      <c r="L156" s="85"/>
      <c r="M156" s="85"/>
      <c r="N156" s="85"/>
      <c r="O156" s="11"/>
      <c r="P156" s="11"/>
      <c r="Q156" s="11"/>
      <c r="R156" s="11"/>
      <c r="S156" s="11"/>
      <c r="T156" s="11"/>
      <c r="U156" s="11"/>
      <c r="V156" s="11"/>
    </row>
    <row r="157" spans="1:23" s="1" customFormat="1" ht="63.75" x14ac:dyDescent="0.25">
      <c r="A157" s="4" t="s">
        <v>467</v>
      </c>
      <c r="B157" s="164" t="s">
        <v>122</v>
      </c>
      <c r="C157" s="164">
        <f>C151</f>
        <v>1399999.9959461594</v>
      </c>
      <c r="D157" s="164">
        <f>D151</f>
        <v>1399999.9959461594</v>
      </c>
      <c r="E157" s="164">
        <f>E151</f>
        <v>1399999.9959461594</v>
      </c>
      <c r="F157" s="164">
        <f>C157*0.2%</f>
        <v>2799.9999918923186</v>
      </c>
      <c r="G157" s="164">
        <f>D157*0.2%</f>
        <v>2799.9999918923186</v>
      </c>
      <c r="H157" s="164">
        <f>E157*0.2%</f>
        <v>2799.9999918923186</v>
      </c>
      <c r="I157" s="85"/>
      <c r="J157" s="85"/>
      <c r="K157" s="104"/>
      <c r="L157" s="85"/>
      <c r="M157" s="85"/>
      <c r="N157" s="85"/>
      <c r="O157" s="11"/>
      <c r="P157" s="11"/>
      <c r="Q157" s="11"/>
      <c r="R157" s="11"/>
      <c r="S157" s="11"/>
      <c r="T157" s="11"/>
      <c r="U157" s="11"/>
      <c r="V157" s="11"/>
    </row>
    <row r="158" spans="1:23" s="1" customFormat="1" ht="63.75" hidden="1" x14ac:dyDescent="0.25">
      <c r="A158" s="4" t="s">
        <v>468</v>
      </c>
      <c r="B158" s="164" t="s">
        <v>123</v>
      </c>
      <c r="C158" s="95" t="s">
        <v>180</v>
      </c>
      <c r="D158" s="95" t="s">
        <v>180</v>
      </c>
      <c r="E158" s="95" t="s">
        <v>180</v>
      </c>
      <c r="F158" s="164"/>
      <c r="G158" s="164"/>
      <c r="H158" s="164"/>
      <c r="I158" s="85"/>
      <c r="J158" s="85"/>
      <c r="K158" s="104"/>
      <c r="L158" s="85"/>
      <c r="M158" s="85"/>
      <c r="N158" s="85"/>
      <c r="O158" s="11"/>
      <c r="P158" s="11"/>
      <c r="Q158" s="11"/>
      <c r="R158" s="11"/>
      <c r="S158" s="11"/>
      <c r="T158" s="11"/>
      <c r="U158" s="11"/>
      <c r="V158" s="11"/>
    </row>
    <row r="159" spans="1:23" s="1" customFormat="1" ht="63.75" hidden="1" x14ac:dyDescent="0.25">
      <c r="A159" s="4" t="s">
        <v>468</v>
      </c>
      <c r="B159" s="66"/>
      <c r="C159" s="95" t="s">
        <v>180</v>
      </c>
      <c r="D159" s="95" t="s">
        <v>180</v>
      </c>
      <c r="E159" s="95" t="s">
        <v>180</v>
      </c>
      <c r="F159" s="164"/>
      <c r="G159" s="164"/>
      <c r="H159" s="164"/>
      <c r="I159" s="85"/>
      <c r="J159" s="85"/>
      <c r="K159" s="104"/>
      <c r="L159" s="85"/>
      <c r="M159" s="85"/>
      <c r="N159" s="85"/>
      <c r="O159" s="11"/>
      <c r="P159" s="11"/>
      <c r="Q159" s="11"/>
      <c r="R159" s="11"/>
      <c r="S159" s="11"/>
      <c r="T159" s="11"/>
      <c r="U159" s="11"/>
      <c r="V159" s="11"/>
    </row>
    <row r="160" spans="1:23" s="1" customFormat="1" ht="51" x14ac:dyDescent="0.25">
      <c r="A160" s="4" t="s">
        <v>469</v>
      </c>
      <c r="B160" s="164" t="s">
        <v>76</v>
      </c>
      <c r="C160" s="164" t="s">
        <v>1</v>
      </c>
      <c r="D160" s="164" t="s">
        <v>1</v>
      </c>
      <c r="E160" s="164" t="s">
        <v>1</v>
      </c>
      <c r="F160" s="164">
        <f>F161</f>
        <v>71399.999793254116</v>
      </c>
      <c r="G160" s="164">
        <f t="shared" ref="G160:H160" si="31">G161</f>
        <v>71399.999793254116</v>
      </c>
      <c r="H160" s="164">
        <f t="shared" si="31"/>
        <v>71399.999793254116</v>
      </c>
      <c r="I160" s="85"/>
      <c r="J160" s="85"/>
      <c r="K160" s="104"/>
      <c r="L160" s="85"/>
      <c r="M160" s="85"/>
      <c r="N160" s="85"/>
      <c r="O160" s="11"/>
      <c r="P160" s="11"/>
      <c r="Q160" s="11"/>
      <c r="R160" s="11"/>
      <c r="S160" s="11"/>
      <c r="T160" s="11"/>
      <c r="U160" s="11"/>
      <c r="V160" s="11"/>
    </row>
    <row r="161" spans="1:22" s="1" customFormat="1" ht="38.25" x14ac:dyDescent="0.25">
      <c r="A161" s="4" t="s">
        <v>470</v>
      </c>
      <c r="B161" s="164" t="s">
        <v>77</v>
      </c>
      <c r="C161" s="164">
        <f>C151</f>
        <v>1399999.9959461594</v>
      </c>
      <c r="D161" s="164">
        <f>D151</f>
        <v>1399999.9959461594</v>
      </c>
      <c r="E161" s="164">
        <f>E151</f>
        <v>1399999.9959461594</v>
      </c>
      <c r="F161" s="164">
        <f>C161*5.1%</f>
        <v>71399.999793254116</v>
      </c>
      <c r="G161" s="164">
        <f>D161*5.1%</f>
        <v>71399.999793254116</v>
      </c>
      <c r="H161" s="164">
        <f>E161*5.1%</f>
        <v>71399.999793254116</v>
      </c>
      <c r="I161" s="85"/>
      <c r="J161" s="85"/>
      <c r="K161" s="104"/>
      <c r="L161" s="85"/>
      <c r="M161" s="85"/>
      <c r="N161" s="85"/>
      <c r="O161" s="11"/>
      <c r="P161" s="11"/>
      <c r="Q161" s="11"/>
      <c r="R161" s="11"/>
      <c r="S161" s="11"/>
      <c r="T161" s="11"/>
      <c r="U161" s="11"/>
      <c r="V161" s="11"/>
    </row>
    <row r="162" spans="1:22" x14ac:dyDescent="0.25">
      <c r="A162" s="112" t="s">
        <v>427</v>
      </c>
      <c r="B162" s="164" t="s">
        <v>1</v>
      </c>
      <c r="C162" s="164" t="s">
        <v>1</v>
      </c>
      <c r="D162" s="164" t="s">
        <v>1</v>
      </c>
      <c r="E162" s="164" t="s">
        <v>1</v>
      </c>
      <c r="F162" s="94">
        <f>F150+F154+F161</f>
        <v>422799.99877574015</v>
      </c>
      <c r="G162" s="94">
        <f>G150+G154+G161</f>
        <v>422799.99877574015</v>
      </c>
      <c r="H162" s="94">
        <f>H150+H154+H161</f>
        <v>422799.99877574015</v>
      </c>
      <c r="I162" s="85"/>
      <c r="J162" s="85"/>
      <c r="K162" s="85"/>
      <c r="L162" s="1"/>
      <c r="M162" s="1"/>
      <c r="N162" s="1"/>
    </row>
    <row r="163" spans="1:22" ht="24.75" customHeight="1" x14ac:dyDescent="0.25">
      <c r="A163" s="327" t="s">
        <v>396</v>
      </c>
      <c r="B163" s="327"/>
      <c r="C163" s="327"/>
      <c r="D163" s="327"/>
      <c r="E163" s="327"/>
      <c r="F163" s="327"/>
      <c r="G163" s="327"/>
      <c r="H163" s="172"/>
      <c r="I163" s="172"/>
      <c r="J163" s="172"/>
      <c r="K163" s="172"/>
      <c r="L163" s="172"/>
      <c r="M163" s="153"/>
      <c r="N163" s="172"/>
    </row>
    <row r="164" spans="1:22" ht="14.25" customHeight="1" x14ac:dyDescent="0.25">
      <c r="A164" s="174"/>
      <c r="B164" s="174"/>
      <c r="C164" s="174"/>
      <c r="D164" s="174"/>
      <c r="E164" s="174"/>
      <c r="F164" s="174"/>
      <c r="G164" s="174"/>
      <c r="H164" s="153"/>
      <c r="I164" s="153"/>
      <c r="J164" s="153"/>
      <c r="K164" s="153"/>
      <c r="L164" s="153"/>
      <c r="M164" s="153"/>
      <c r="N164" s="153"/>
    </row>
    <row r="165" spans="1:22" ht="15" customHeight="1" x14ac:dyDescent="0.25">
      <c r="A165" s="328" t="s">
        <v>584</v>
      </c>
      <c r="B165" s="328"/>
      <c r="C165" s="328"/>
      <c r="D165" s="328"/>
      <c r="E165" s="328"/>
      <c r="F165" s="328"/>
      <c r="G165" s="328"/>
      <c r="H165" s="328"/>
      <c r="I165" s="328"/>
      <c r="J165" s="328"/>
      <c r="K165" s="328"/>
      <c r="L165" s="328"/>
      <c r="M165" s="328"/>
      <c r="N165" s="328"/>
    </row>
    <row r="166" spans="1:22" ht="11.25" hidden="1" customHeight="1" x14ac:dyDescent="0.25">
      <c r="A166" s="174"/>
      <c r="B166" s="174"/>
      <c r="C166" s="174"/>
      <c r="D166" s="174"/>
      <c r="E166" s="174"/>
      <c r="F166" s="174"/>
      <c r="G166" s="174"/>
      <c r="H166" s="153"/>
      <c r="I166" s="153"/>
      <c r="J166" s="153"/>
      <c r="K166" s="153"/>
      <c r="L166" s="153"/>
      <c r="M166" s="153"/>
      <c r="N166" s="153"/>
    </row>
    <row r="167" spans="1:22" ht="28.5" hidden="1" customHeight="1" x14ac:dyDescent="0.25">
      <c r="A167" s="299" t="s">
        <v>451</v>
      </c>
      <c r="B167" s="307" t="s">
        <v>72</v>
      </c>
      <c r="C167" s="307" t="s">
        <v>124</v>
      </c>
      <c r="D167" s="307"/>
      <c r="E167" s="307"/>
      <c r="F167" s="340" t="s">
        <v>581</v>
      </c>
      <c r="G167" s="341"/>
      <c r="H167" s="331" t="s">
        <v>43</v>
      </c>
      <c r="I167" s="332"/>
      <c r="J167" s="339"/>
      <c r="K167" s="153"/>
      <c r="L167" s="153"/>
      <c r="M167" s="153"/>
      <c r="N167" s="153"/>
    </row>
    <row r="168" spans="1:22" ht="24.75" hidden="1" customHeight="1" x14ac:dyDescent="0.25">
      <c r="A168" s="299"/>
      <c r="B168" s="307"/>
      <c r="C168" s="168" t="s">
        <v>8</v>
      </c>
      <c r="D168" s="168" t="s">
        <v>9</v>
      </c>
      <c r="E168" s="168" t="s">
        <v>399</v>
      </c>
      <c r="F168" s="168" t="s">
        <v>8</v>
      </c>
      <c r="G168" s="168" t="s">
        <v>399</v>
      </c>
      <c r="H168" s="168" t="s">
        <v>8</v>
      </c>
      <c r="I168" s="168" t="s">
        <v>9</v>
      </c>
      <c r="J168" s="168" t="s">
        <v>399</v>
      </c>
      <c r="K168" s="153"/>
      <c r="L168" s="153"/>
      <c r="M168" s="153"/>
      <c r="N168" s="153"/>
    </row>
    <row r="169" spans="1:22" ht="24.75" hidden="1" customHeight="1" x14ac:dyDescent="0.25">
      <c r="A169" s="299"/>
      <c r="B169" s="307"/>
      <c r="C169" s="169" t="s">
        <v>44</v>
      </c>
      <c r="D169" s="169" t="s">
        <v>45</v>
      </c>
      <c r="E169" s="169" t="s">
        <v>46</v>
      </c>
      <c r="F169" s="169" t="s">
        <v>44</v>
      </c>
      <c r="G169" s="169" t="s">
        <v>46</v>
      </c>
      <c r="H169" s="169" t="s">
        <v>44</v>
      </c>
      <c r="I169" s="169" t="s">
        <v>45</v>
      </c>
      <c r="J169" s="169" t="s">
        <v>46</v>
      </c>
      <c r="K169" s="153"/>
      <c r="L169" s="153"/>
      <c r="M169" s="153"/>
      <c r="N169" s="153"/>
    </row>
    <row r="170" spans="1:22" ht="24.75" hidden="1" customHeight="1" x14ac:dyDescent="0.25">
      <c r="A170" s="167" t="s">
        <v>190</v>
      </c>
      <c r="B170" s="164" t="s">
        <v>73</v>
      </c>
      <c r="C170" s="164" t="s">
        <v>47</v>
      </c>
      <c r="D170" s="164" t="s">
        <v>48</v>
      </c>
      <c r="E170" s="164" t="s">
        <v>49</v>
      </c>
      <c r="F170" s="164" t="s">
        <v>52</v>
      </c>
      <c r="G170" s="164" t="s">
        <v>91</v>
      </c>
      <c r="H170" s="164" t="s">
        <v>92</v>
      </c>
      <c r="I170" s="164" t="s">
        <v>93</v>
      </c>
      <c r="J170" s="164" t="s">
        <v>94</v>
      </c>
      <c r="K170" s="153"/>
      <c r="L170" s="153"/>
      <c r="M170" s="153"/>
      <c r="N170" s="153"/>
    </row>
    <row r="171" spans="1:22" ht="66.75" hidden="1" customHeight="1" x14ac:dyDescent="0.25">
      <c r="A171" s="4" t="s">
        <v>580</v>
      </c>
      <c r="B171" s="164" t="s">
        <v>98</v>
      </c>
      <c r="C171" s="164">
        <v>4375</v>
      </c>
      <c r="D171" s="164">
        <v>4375</v>
      </c>
      <c r="E171" s="164">
        <v>4375</v>
      </c>
      <c r="F171" s="164">
        <v>4</v>
      </c>
      <c r="G171" s="164">
        <v>4</v>
      </c>
      <c r="H171" s="164">
        <v>1</v>
      </c>
      <c r="I171" s="164">
        <v>1</v>
      </c>
      <c r="J171" s="164">
        <v>1</v>
      </c>
      <c r="K171" s="85"/>
      <c r="L171" s="85"/>
      <c r="M171" s="85"/>
      <c r="N171" s="1"/>
    </row>
    <row r="172" spans="1:22" hidden="1" x14ac:dyDescent="0.25">
      <c r="A172" s="167" t="s">
        <v>427</v>
      </c>
      <c r="B172" s="164" t="s">
        <v>1</v>
      </c>
      <c r="C172" s="164" t="s">
        <v>1</v>
      </c>
      <c r="D172" s="164" t="s">
        <v>1</v>
      </c>
      <c r="E172" s="164" t="s">
        <v>1</v>
      </c>
      <c r="F172" s="164" t="s">
        <v>1</v>
      </c>
      <c r="G172" s="164" t="s">
        <v>1</v>
      </c>
      <c r="H172" s="164" t="s">
        <v>1</v>
      </c>
      <c r="I172" s="164" t="s">
        <v>1</v>
      </c>
      <c r="J172" s="164" t="s">
        <v>1</v>
      </c>
      <c r="K172" s="85"/>
      <c r="L172" s="85"/>
      <c r="M172" s="85"/>
      <c r="N172" s="1"/>
    </row>
    <row r="173" spans="1:22" ht="12" customHeight="1" x14ac:dyDescent="0.25">
      <c r="A173" s="1"/>
      <c r="B173" s="85"/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1"/>
    </row>
    <row r="174" spans="1:22" x14ac:dyDescent="0.25">
      <c r="A174" s="8" t="s">
        <v>520</v>
      </c>
      <c r="B174" s="85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1"/>
    </row>
    <row r="175" spans="1:22" x14ac:dyDescent="0.25">
      <c r="A175" s="1"/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1"/>
    </row>
    <row r="176" spans="1:22" ht="27.75" customHeight="1" x14ac:dyDescent="0.25">
      <c r="A176" s="299" t="s">
        <v>451</v>
      </c>
      <c r="B176" s="307" t="s">
        <v>72</v>
      </c>
      <c r="C176" s="307" t="s">
        <v>60</v>
      </c>
      <c r="D176" s="307"/>
      <c r="E176" s="307"/>
      <c r="F176" s="331" t="s">
        <v>124</v>
      </c>
      <c r="G176" s="332"/>
      <c r="H176" s="332"/>
      <c r="I176" s="305" t="s">
        <v>125</v>
      </c>
      <c r="J176" s="305"/>
      <c r="K176" s="305"/>
      <c r="L176" s="305" t="s">
        <v>43</v>
      </c>
      <c r="M176" s="305"/>
      <c r="N176" s="305"/>
      <c r="O176" s="26"/>
    </row>
    <row r="177" spans="1:14" ht="17.25" customHeight="1" x14ac:dyDescent="0.25">
      <c r="A177" s="299"/>
      <c r="B177" s="307"/>
      <c r="C177" s="254" t="s">
        <v>399</v>
      </c>
      <c r="D177" s="254" t="s">
        <v>611</v>
      </c>
      <c r="E177" s="254" t="s">
        <v>650</v>
      </c>
      <c r="F177" s="254" t="s">
        <v>399</v>
      </c>
      <c r="G177" s="254" t="s">
        <v>611</v>
      </c>
      <c r="H177" s="254" t="s">
        <v>650</v>
      </c>
      <c r="I177" s="254" t="s">
        <v>399</v>
      </c>
      <c r="J177" s="254" t="s">
        <v>611</v>
      </c>
      <c r="K177" s="254" t="s">
        <v>650</v>
      </c>
      <c r="L177" s="254" t="s">
        <v>399</v>
      </c>
      <c r="M177" s="254" t="s">
        <v>611</v>
      </c>
      <c r="N177" s="254" t="s">
        <v>650</v>
      </c>
    </row>
    <row r="178" spans="1:14" ht="38.25" x14ac:dyDescent="0.25">
      <c r="A178" s="299"/>
      <c r="B178" s="307"/>
      <c r="C178" s="169" t="s">
        <v>44</v>
      </c>
      <c r="D178" s="169" t="s">
        <v>45</v>
      </c>
      <c r="E178" s="169" t="s">
        <v>46</v>
      </c>
      <c r="F178" s="169" t="s">
        <v>44</v>
      </c>
      <c r="G178" s="169" t="s">
        <v>45</v>
      </c>
      <c r="H178" s="169" t="s">
        <v>46</v>
      </c>
      <c r="I178" s="169" t="s">
        <v>44</v>
      </c>
      <c r="J178" s="169" t="s">
        <v>45</v>
      </c>
      <c r="K178" s="169" t="s">
        <v>46</v>
      </c>
      <c r="L178" s="169" t="s">
        <v>44</v>
      </c>
      <c r="M178" s="169" t="s">
        <v>45</v>
      </c>
      <c r="N178" s="169" t="s">
        <v>46</v>
      </c>
    </row>
    <row r="179" spans="1:14" x14ac:dyDescent="0.25">
      <c r="A179" s="167" t="s">
        <v>190</v>
      </c>
      <c r="B179" s="164" t="s">
        <v>73</v>
      </c>
      <c r="C179" s="164" t="s">
        <v>47</v>
      </c>
      <c r="D179" s="164" t="s">
        <v>48</v>
      </c>
      <c r="E179" s="164" t="s">
        <v>49</v>
      </c>
      <c r="F179" s="164" t="s">
        <v>52</v>
      </c>
      <c r="G179" s="164" t="s">
        <v>91</v>
      </c>
      <c r="H179" s="164" t="s">
        <v>92</v>
      </c>
      <c r="I179" s="164" t="s">
        <v>93</v>
      </c>
      <c r="J179" s="164" t="s">
        <v>94</v>
      </c>
      <c r="K179" s="164" t="s">
        <v>115</v>
      </c>
      <c r="L179" s="164" t="s">
        <v>126</v>
      </c>
      <c r="M179" s="93">
        <v>14</v>
      </c>
      <c r="N179" s="93">
        <v>15</v>
      </c>
    </row>
    <row r="180" spans="1:14" ht="25.5" x14ac:dyDescent="0.25">
      <c r="A180" s="4" t="s">
        <v>181</v>
      </c>
      <c r="B180" s="164" t="s">
        <v>98</v>
      </c>
      <c r="C180" s="164">
        <v>500</v>
      </c>
      <c r="D180" s="253">
        <v>500</v>
      </c>
      <c r="E180" s="253">
        <v>500</v>
      </c>
      <c r="F180" s="164">
        <v>4</v>
      </c>
      <c r="G180" s="253">
        <v>4</v>
      </c>
      <c r="H180" s="253">
        <v>4</v>
      </c>
      <c r="I180" s="93">
        <v>25</v>
      </c>
      <c r="J180" s="93">
        <v>25</v>
      </c>
      <c r="K180" s="93">
        <v>25</v>
      </c>
      <c r="L180" s="164">
        <f>C180*F180*I180</f>
        <v>50000</v>
      </c>
      <c r="M180" s="164">
        <f t="shared" ref="M180:N181" si="32">D180*G180*J180</f>
        <v>50000</v>
      </c>
      <c r="N180" s="164">
        <f t="shared" si="32"/>
        <v>50000</v>
      </c>
    </row>
    <row r="181" spans="1:14" ht="27.75" customHeight="1" x14ac:dyDescent="0.25">
      <c r="A181" s="27" t="s">
        <v>182</v>
      </c>
      <c r="B181" s="164" t="s">
        <v>99</v>
      </c>
      <c r="C181" s="164">
        <v>500</v>
      </c>
      <c r="D181" s="253">
        <v>500</v>
      </c>
      <c r="E181" s="253">
        <v>500</v>
      </c>
      <c r="F181" s="164">
        <v>4</v>
      </c>
      <c r="G181" s="198">
        <v>4</v>
      </c>
      <c r="H181" s="198">
        <v>4</v>
      </c>
      <c r="I181" s="93">
        <v>25</v>
      </c>
      <c r="J181" s="93">
        <v>25</v>
      </c>
      <c r="K181" s="93">
        <v>25</v>
      </c>
      <c r="L181" s="253">
        <f>C181*F181*I181</f>
        <v>50000</v>
      </c>
      <c r="M181" s="164">
        <f t="shared" si="32"/>
        <v>50000</v>
      </c>
      <c r="N181" s="164">
        <f t="shared" si="32"/>
        <v>50000</v>
      </c>
    </row>
    <row r="182" spans="1:14" x14ac:dyDescent="0.25">
      <c r="A182" s="167" t="s">
        <v>427</v>
      </c>
      <c r="B182" s="164" t="s">
        <v>1</v>
      </c>
      <c r="C182" s="164" t="s">
        <v>1</v>
      </c>
      <c r="D182" s="164" t="s">
        <v>1</v>
      </c>
      <c r="E182" s="164" t="s">
        <v>1</v>
      </c>
      <c r="F182" s="164" t="s">
        <v>1</v>
      </c>
      <c r="G182" s="164" t="s">
        <v>1</v>
      </c>
      <c r="H182" s="164" t="s">
        <v>1</v>
      </c>
      <c r="I182" s="164" t="s">
        <v>1</v>
      </c>
      <c r="J182" s="164" t="s">
        <v>1</v>
      </c>
      <c r="K182" s="164" t="s">
        <v>1</v>
      </c>
      <c r="L182" s="94">
        <f>SUM(L180:L181)</f>
        <v>100000</v>
      </c>
      <c r="M182" s="94">
        <f>SUM(M180:M181)</f>
        <v>100000</v>
      </c>
      <c r="N182" s="94">
        <f>SUM(N180:N181)</f>
        <v>100000</v>
      </c>
    </row>
    <row r="183" spans="1:14" x14ac:dyDescent="0.25">
      <c r="A183" s="1"/>
      <c r="B183" s="85"/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1"/>
    </row>
    <row r="184" spans="1:14" x14ac:dyDescent="0.25">
      <c r="A184" s="8" t="s">
        <v>602</v>
      </c>
      <c r="B184" s="85"/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1"/>
    </row>
    <row r="185" spans="1:14" hidden="1" x14ac:dyDescent="0.25">
      <c r="A185" s="1"/>
      <c r="B185" s="85"/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1"/>
    </row>
    <row r="186" spans="1:14" ht="28.5" hidden="1" customHeight="1" x14ac:dyDescent="0.25">
      <c r="A186" s="299" t="s">
        <v>451</v>
      </c>
      <c r="B186" s="307" t="s">
        <v>72</v>
      </c>
      <c r="C186" s="307" t="s">
        <v>61</v>
      </c>
      <c r="D186" s="307"/>
      <c r="E186" s="307"/>
      <c r="F186" s="340" t="s">
        <v>128</v>
      </c>
      <c r="G186" s="342"/>
      <c r="H186" s="341"/>
      <c r="I186" s="340" t="s">
        <v>582</v>
      </c>
      <c r="J186" s="342"/>
      <c r="K186" s="341"/>
      <c r="L186" s="331" t="s">
        <v>43</v>
      </c>
      <c r="M186" s="332"/>
      <c r="N186" s="339"/>
    </row>
    <row r="187" spans="1:14" ht="14.25" hidden="1" customHeight="1" x14ac:dyDescent="0.25">
      <c r="A187" s="299"/>
      <c r="B187" s="307"/>
      <c r="C187" s="168" t="s">
        <v>8</v>
      </c>
      <c r="D187" s="168" t="s">
        <v>9</v>
      </c>
      <c r="E187" s="168" t="s">
        <v>399</v>
      </c>
      <c r="F187" s="168" t="s">
        <v>8</v>
      </c>
      <c r="G187" s="168" t="s">
        <v>9</v>
      </c>
      <c r="H187" s="168" t="s">
        <v>399</v>
      </c>
      <c r="I187" s="168" t="s">
        <v>8</v>
      </c>
      <c r="J187" s="168" t="s">
        <v>9</v>
      </c>
      <c r="K187" s="168" t="s">
        <v>399</v>
      </c>
      <c r="L187" s="168" t="s">
        <v>8</v>
      </c>
      <c r="M187" s="168" t="s">
        <v>9</v>
      </c>
      <c r="N187" s="168" t="s">
        <v>399</v>
      </c>
    </row>
    <row r="188" spans="1:14" ht="39.75" hidden="1" customHeight="1" x14ac:dyDescent="0.25">
      <c r="A188" s="299"/>
      <c r="B188" s="307"/>
      <c r="C188" s="169" t="s">
        <v>44</v>
      </c>
      <c r="D188" s="169" t="s">
        <v>45</v>
      </c>
      <c r="E188" s="169" t="s">
        <v>46</v>
      </c>
      <c r="F188" s="169" t="s">
        <v>44</v>
      </c>
      <c r="G188" s="169" t="s">
        <v>45</v>
      </c>
      <c r="H188" s="169" t="s">
        <v>46</v>
      </c>
      <c r="I188" s="169" t="s">
        <v>44</v>
      </c>
      <c r="J188" s="169" t="s">
        <v>45</v>
      </c>
      <c r="K188" s="169" t="s">
        <v>46</v>
      </c>
      <c r="L188" s="169" t="s">
        <v>44</v>
      </c>
      <c r="M188" s="169" t="s">
        <v>45</v>
      </c>
      <c r="N188" s="169" t="s">
        <v>46</v>
      </c>
    </row>
    <row r="189" spans="1:14" hidden="1" x14ac:dyDescent="0.25">
      <c r="A189" s="167" t="s">
        <v>190</v>
      </c>
      <c r="B189" s="164" t="s">
        <v>73</v>
      </c>
      <c r="C189" s="164" t="s">
        <v>47</v>
      </c>
      <c r="D189" s="164" t="s">
        <v>48</v>
      </c>
      <c r="E189" s="164" t="s">
        <v>49</v>
      </c>
      <c r="F189" s="164" t="s">
        <v>52</v>
      </c>
      <c r="G189" s="164" t="s">
        <v>91</v>
      </c>
      <c r="H189" s="164" t="s">
        <v>92</v>
      </c>
      <c r="I189" s="164" t="s">
        <v>93</v>
      </c>
      <c r="J189" s="164" t="s">
        <v>94</v>
      </c>
      <c r="K189" s="164" t="s">
        <v>115</v>
      </c>
      <c r="L189" s="164" t="s">
        <v>126</v>
      </c>
      <c r="M189" s="93">
        <v>14</v>
      </c>
      <c r="N189" s="93">
        <v>15</v>
      </c>
    </row>
    <row r="190" spans="1:14" ht="27" hidden="1" customHeight="1" x14ac:dyDescent="0.25">
      <c r="A190" s="19"/>
      <c r="B190" s="164"/>
      <c r="C190" s="164"/>
      <c r="D190" s="164"/>
      <c r="E190" s="164"/>
      <c r="F190" s="164"/>
      <c r="G190" s="164"/>
      <c r="H190" s="164"/>
      <c r="I190" s="164"/>
      <c r="J190" s="164"/>
      <c r="K190" s="164"/>
      <c r="L190" s="164"/>
      <c r="M190" s="164"/>
      <c r="N190" s="164"/>
    </row>
    <row r="191" spans="1:14" hidden="1" x14ac:dyDescent="0.25">
      <c r="A191" s="167" t="s">
        <v>427</v>
      </c>
      <c r="B191" s="164" t="s">
        <v>1</v>
      </c>
      <c r="C191" s="164" t="s">
        <v>1</v>
      </c>
      <c r="D191" s="164" t="s">
        <v>1</v>
      </c>
      <c r="E191" s="164" t="s">
        <v>1</v>
      </c>
      <c r="F191" s="164" t="s">
        <v>1</v>
      </c>
      <c r="G191" s="164" t="s">
        <v>1</v>
      </c>
      <c r="H191" s="164" t="s">
        <v>1</v>
      </c>
      <c r="I191" s="164" t="s">
        <v>1</v>
      </c>
      <c r="J191" s="164" t="s">
        <v>1</v>
      </c>
      <c r="K191" s="164" t="s">
        <v>1</v>
      </c>
      <c r="L191" s="94">
        <f t="shared" ref="L191:N191" si="33">L190</f>
        <v>0</v>
      </c>
      <c r="M191" s="94">
        <f t="shared" si="33"/>
        <v>0</v>
      </c>
      <c r="N191" s="94">
        <f t="shared" si="33"/>
        <v>0</v>
      </c>
    </row>
    <row r="192" spans="1:14" ht="9.75" customHeight="1" x14ac:dyDescent="0.25">
      <c r="A192" s="1"/>
      <c r="B192" s="85"/>
      <c r="C192" s="85"/>
      <c r="D192" s="85"/>
      <c r="E192" s="85"/>
      <c r="F192" s="85"/>
      <c r="G192" s="85"/>
      <c r="H192" s="85"/>
      <c r="I192" s="85"/>
      <c r="J192" s="85"/>
      <c r="K192" s="85"/>
      <c r="L192" s="1"/>
      <c r="M192" s="1"/>
      <c r="N192" s="1"/>
    </row>
    <row r="193" spans="1:14" x14ac:dyDescent="0.25">
      <c r="A193" s="8" t="s">
        <v>397</v>
      </c>
      <c r="B193" s="85"/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1"/>
    </row>
    <row r="194" spans="1:14" hidden="1" x14ac:dyDescent="0.25">
      <c r="A194" s="1"/>
      <c r="B194" s="85"/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1"/>
    </row>
    <row r="195" spans="1:14" hidden="1" x14ac:dyDescent="0.25">
      <c r="A195" s="269" t="s">
        <v>193</v>
      </c>
      <c r="B195" s="307" t="s">
        <v>72</v>
      </c>
      <c r="C195" s="275" t="s">
        <v>62</v>
      </c>
      <c r="D195" s="275"/>
      <c r="E195" s="275"/>
      <c r="F195" s="275" t="s">
        <v>129</v>
      </c>
      <c r="G195" s="275"/>
      <c r="H195" s="275"/>
      <c r="I195" s="273" t="s">
        <v>130</v>
      </c>
      <c r="J195" s="326"/>
      <c r="K195" s="274"/>
      <c r="L195" s="85"/>
      <c r="M195" s="85"/>
      <c r="N195" s="1"/>
    </row>
    <row r="196" spans="1:14" hidden="1" x14ac:dyDescent="0.25">
      <c r="A196" s="269"/>
      <c r="B196" s="307"/>
      <c r="C196" s="168" t="s">
        <v>38</v>
      </c>
      <c r="D196" s="168" t="s">
        <v>38</v>
      </c>
      <c r="E196" s="168" t="s">
        <v>38</v>
      </c>
      <c r="F196" s="168" t="s">
        <v>38</v>
      </c>
      <c r="G196" s="168" t="s">
        <v>38</v>
      </c>
      <c r="H196" s="168" t="s">
        <v>38</v>
      </c>
      <c r="I196" s="168" t="s">
        <v>38</v>
      </c>
      <c r="J196" s="168" t="s">
        <v>38</v>
      </c>
      <c r="K196" s="168" t="s">
        <v>38</v>
      </c>
      <c r="L196" s="85"/>
      <c r="M196" s="85"/>
      <c r="N196" s="1"/>
    </row>
    <row r="197" spans="1:14" ht="38.25" hidden="1" x14ac:dyDescent="0.25">
      <c r="A197" s="269"/>
      <c r="B197" s="307"/>
      <c r="C197" s="169" t="s">
        <v>44</v>
      </c>
      <c r="D197" s="169" t="s">
        <v>45</v>
      </c>
      <c r="E197" s="169" t="s">
        <v>46</v>
      </c>
      <c r="F197" s="169" t="s">
        <v>44</v>
      </c>
      <c r="G197" s="169" t="s">
        <v>45</v>
      </c>
      <c r="H197" s="169" t="s">
        <v>46</v>
      </c>
      <c r="I197" s="169" t="s">
        <v>44</v>
      </c>
      <c r="J197" s="169" t="s">
        <v>45</v>
      </c>
      <c r="K197" s="169" t="s">
        <v>46</v>
      </c>
      <c r="L197" s="85"/>
      <c r="M197" s="85"/>
      <c r="N197" s="1"/>
    </row>
    <row r="198" spans="1:14" hidden="1" x14ac:dyDescent="0.25">
      <c r="A198" s="167" t="s">
        <v>190</v>
      </c>
      <c r="B198" s="164" t="s">
        <v>73</v>
      </c>
      <c r="C198" s="164" t="s">
        <v>47</v>
      </c>
      <c r="D198" s="164" t="s">
        <v>48</v>
      </c>
      <c r="E198" s="164" t="s">
        <v>49</v>
      </c>
      <c r="F198" s="164" t="s">
        <v>52</v>
      </c>
      <c r="G198" s="164" t="s">
        <v>53</v>
      </c>
      <c r="H198" s="164" t="s">
        <v>91</v>
      </c>
      <c r="I198" s="164" t="s">
        <v>92</v>
      </c>
      <c r="J198" s="164" t="s">
        <v>93</v>
      </c>
      <c r="K198" s="164" t="s">
        <v>94</v>
      </c>
      <c r="L198" s="85"/>
      <c r="M198" s="85"/>
      <c r="N198" s="1"/>
    </row>
    <row r="199" spans="1:14" hidden="1" x14ac:dyDescent="0.25">
      <c r="A199" s="171"/>
      <c r="B199" s="164" t="s">
        <v>98</v>
      </c>
      <c r="C199" s="36"/>
      <c r="D199" s="36"/>
      <c r="E199" s="36"/>
      <c r="F199" s="36"/>
      <c r="G199" s="36"/>
      <c r="H199" s="36"/>
      <c r="I199" s="36"/>
      <c r="J199" s="36"/>
      <c r="K199" s="36"/>
      <c r="L199" s="85"/>
      <c r="M199" s="85"/>
      <c r="N199" s="1"/>
    </row>
    <row r="200" spans="1:14" hidden="1" x14ac:dyDescent="0.25">
      <c r="A200" s="171"/>
      <c r="B200" s="164" t="s">
        <v>99</v>
      </c>
      <c r="C200" s="36"/>
      <c r="D200" s="36"/>
      <c r="E200" s="36"/>
      <c r="F200" s="36"/>
      <c r="G200" s="36"/>
      <c r="H200" s="36"/>
      <c r="I200" s="36"/>
      <c r="J200" s="36"/>
      <c r="K200" s="36"/>
      <c r="L200" s="85"/>
      <c r="M200" s="85"/>
      <c r="N200" s="1"/>
    </row>
    <row r="201" spans="1:14" hidden="1" x14ac:dyDescent="0.25">
      <c r="A201" s="171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85"/>
      <c r="M201" s="85"/>
      <c r="N201" s="1"/>
    </row>
    <row r="202" spans="1:14" hidden="1" x14ac:dyDescent="0.25">
      <c r="A202" s="167" t="s">
        <v>427</v>
      </c>
      <c r="B202" s="164" t="s">
        <v>95</v>
      </c>
      <c r="C202" s="164" t="s">
        <v>1</v>
      </c>
      <c r="D202" s="164" t="s">
        <v>1</v>
      </c>
      <c r="E202" s="164" t="s">
        <v>1</v>
      </c>
      <c r="F202" s="164" t="s">
        <v>1</v>
      </c>
      <c r="G202" s="164" t="s">
        <v>1</v>
      </c>
      <c r="H202" s="164" t="s">
        <v>1</v>
      </c>
      <c r="I202" s="36"/>
      <c r="J202" s="36"/>
      <c r="K202" s="36"/>
      <c r="L202" s="85"/>
      <c r="M202" s="85"/>
      <c r="N202" s="1"/>
    </row>
    <row r="203" spans="1:14" ht="12" customHeight="1" x14ac:dyDescent="0.25">
      <c r="A203" s="1"/>
      <c r="B203" s="85"/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1"/>
    </row>
    <row r="204" spans="1:14" x14ac:dyDescent="0.25">
      <c r="A204" s="8" t="s">
        <v>521</v>
      </c>
      <c r="B204" s="85"/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1"/>
    </row>
    <row r="205" spans="1:14" ht="9" customHeight="1" x14ac:dyDescent="0.25">
      <c r="A205" s="1"/>
      <c r="B205" s="85"/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1"/>
    </row>
    <row r="206" spans="1:14" ht="27" customHeight="1" x14ac:dyDescent="0.25">
      <c r="A206" s="299" t="s">
        <v>451</v>
      </c>
      <c r="B206" s="307" t="s">
        <v>72</v>
      </c>
      <c r="C206" s="305" t="s">
        <v>63</v>
      </c>
      <c r="D206" s="305"/>
      <c r="E206" s="305"/>
      <c r="F206" s="331" t="s">
        <v>131</v>
      </c>
      <c r="G206" s="332"/>
      <c r="H206" s="339"/>
      <c r="I206" s="340" t="s">
        <v>132</v>
      </c>
      <c r="J206" s="342"/>
      <c r="K206" s="341"/>
      <c r="L206" s="105"/>
      <c r="M206" s="105"/>
      <c r="N206" s="1"/>
    </row>
    <row r="207" spans="1:14" x14ac:dyDescent="0.25">
      <c r="A207" s="299"/>
      <c r="B207" s="307"/>
      <c r="C207" s="254" t="s">
        <v>399</v>
      </c>
      <c r="D207" s="254" t="s">
        <v>611</v>
      </c>
      <c r="E207" s="254" t="s">
        <v>650</v>
      </c>
      <c r="F207" s="254" t="s">
        <v>399</v>
      </c>
      <c r="G207" s="254" t="s">
        <v>611</v>
      </c>
      <c r="H207" s="254" t="s">
        <v>650</v>
      </c>
      <c r="I207" s="254" t="s">
        <v>399</v>
      </c>
      <c r="J207" s="254" t="s">
        <v>611</v>
      </c>
      <c r="K207" s="254" t="s">
        <v>650</v>
      </c>
      <c r="L207" s="1"/>
      <c r="M207" s="1"/>
      <c r="N207" s="1"/>
    </row>
    <row r="208" spans="1:14" ht="39.75" customHeight="1" x14ac:dyDescent="0.25">
      <c r="A208" s="299"/>
      <c r="B208" s="307"/>
      <c r="C208" s="169" t="s">
        <v>44</v>
      </c>
      <c r="D208" s="169" t="s">
        <v>45</v>
      </c>
      <c r="E208" s="169" t="s">
        <v>46</v>
      </c>
      <c r="F208" s="169" t="s">
        <v>44</v>
      </c>
      <c r="G208" s="169" t="s">
        <v>45</v>
      </c>
      <c r="H208" s="169" t="s">
        <v>46</v>
      </c>
      <c r="I208" s="169" t="s">
        <v>44</v>
      </c>
      <c r="J208" s="169" t="s">
        <v>45</v>
      </c>
      <c r="K208" s="169" t="s">
        <v>46</v>
      </c>
      <c r="L208" s="1"/>
      <c r="M208" s="1"/>
      <c r="N208" s="1"/>
    </row>
    <row r="209" spans="1:14" x14ac:dyDescent="0.25">
      <c r="A209" s="167" t="s">
        <v>190</v>
      </c>
      <c r="B209" s="164" t="s">
        <v>73</v>
      </c>
      <c r="C209" s="164" t="s">
        <v>47</v>
      </c>
      <c r="D209" s="164" t="s">
        <v>48</v>
      </c>
      <c r="E209" s="164" t="s">
        <v>49</v>
      </c>
      <c r="F209" s="164" t="s">
        <v>52</v>
      </c>
      <c r="G209" s="164" t="s">
        <v>91</v>
      </c>
      <c r="H209" s="164" t="s">
        <v>92</v>
      </c>
      <c r="I209" s="164" t="s">
        <v>93</v>
      </c>
      <c r="J209" s="164" t="s">
        <v>94</v>
      </c>
      <c r="K209" s="158">
        <v>12</v>
      </c>
      <c r="L209" s="1"/>
      <c r="M209" s="1"/>
      <c r="N209" s="1"/>
    </row>
    <row r="210" spans="1:14" ht="15.75" customHeight="1" x14ac:dyDescent="0.25">
      <c r="A210" s="4" t="s">
        <v>607</v>
      </c>
      <c r="B210" s="164" t="s">
        <v>98</v>
      </c>
      <c r="C210" s="164">
        <v>0</v>
      </c>
      <c r="D210" s="164">
        <v>0</v>
      </c>
      <c r="E210" s="164">
        <v>0</v>
      </c>
      <c r="F210" s="164">
        <v>0</v>
      </c>
      <c r="G210" s="164">
        <v>0</v>
      </c>
      <c r="H210" s="164">
        <v>0</v>
      </c>
      <c r="I210" s="164">
        <v>5000</v>
      </c>
      <c r="J210" s="164">
        <v>5000</v>
      </c>
      <c r="K210" s="164">
        <v>5000</v>
      </c>
      <c r="L210" s="1"/>
      <c r="M210" s="1"/>
      <c r="N210" s="1"/>
    </row>
    <row r="211" spans="1:14" x14ac:dyDescent="0.25">
      <c r="A211" s="167" t="s">
        <v>427</v>
      </c>
      <c r="B211" s="164" t="s">
        <v>95</v>
      </c>
      <c r="C211" s="164" t="s">
        <v>1</v>
      </c>
      <c r="D211" s="164" t="s">
        <v>1</v>
      </c>
      <c r="E211" s="164" t="s">
        <v>1</v>
      </c>
      <c r="F211" s="164" t="s">
        <v>1</v>
      </c>
      <c r="G211" s="164" t="s">
        <v>1</v>
      </c>
      <c r="H211" s="164" t="s">
        <v>1</v>
      </c>
      <c r="I211" s="30">
        <f>SUM(I210:I210)</f>
        <v>5000</v>
      </c>
      <c r="J211" s="30">
        <f>SUM(J210)</f>
        <v>5000</v>
      </c>
      <c r="K211" s="30">
        <f>SUM(K210)</f>
        <v>5000</v>
      </c>
      <c r="L211" s="1"/>
      <c r="M211" s="1"/>
      <c r="N211" s="1"/>
    </row>
    <row r="212" spans="1:14" x14ac:dyDescent="0.25">
      <c r="A212" s="23"/>
      <c r="B212" s="89"/>
      <c r="C212" s="89"/>
      <c r="D212" s="89"/>
      <c r="E212" s="89"/>
      <c r="F212" s="89"/>
      <c r="G212" s="89"/>
      <c r="H212" s="89"/>
      <c r="I212" s="157"/>
      <c r="J212" s="157"/>
      <c r="K212" s="157"/>
      <c r="L212" s="1"/>
      <c r="M212" s="1"/>
      <c r="N212" s="1"/>
    </row>
    <row r="213" spans="1:14" x14ac:dyDescent="0.25">
      <c r="A213" s="293" t="s">
        <v>605</v>
      </c>
      <c r="B213" s="293"/>
      <c r="C213" s="293"/>
      <c r="D213" s="293"/>
      <c r="E213" s="293"/>
      <c r="F213" s="293"/>
      <c r="G213" s="293"/>
      <c r="H213" s="293"/>
      <c r="I213" s="293"/>
      <c r="J213" s="293"/>
      <c r="K213" s="293"/>
      <c r="L213" s="293"/>
      <c r="M213" s="293"/>
      <c r="N213" s="293"/>
    </row>
    <row r="214" spans="1:14" hidden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idden="1" x14ac:dyDescent="0.25">
      <c r="A215" s="299" t="s">
        <v>451</v>
      </c>
      <c r="B215" s="269" t="s">
        <v>72</v>
      </c>
      <c r="C215" s="269" t="s">
        <v>62</v>
      </c>
      <c r="D215" s="269"/>
      <c r="E215" s="269"/>
      <c r="F215" s="269" t="s">
        <v>129</v>
      </c>
      <c r="G215" s="269"/>
      <c r="H215" s="269"/>
      <c r="I215" s="269" t="s">
        <v>130</v>
      </c>
      <c r="J215" s="269"/>
      <c r="K215" s="269"/>
      <c r="L215" s="1"/>
      <c r="M215" s="1"/>
      <c r="N215" s="1"/>
    </row>
    <row r="216" spans="1:14" hidden="1" x14ac:dyDescent="0.25">
      <c r="A216" s="299"/>
      <c r="B216" s="269"/>
      <c r="C216" s="199" t="s">
        <v>9</v>
      </c>
      <c r="D216" s="199" t="s">
        <v>399</v>
      </c>
      <c r="E216" s="199" t="s">
        <v>611</v>
      </c>
      <c r="F216" s="199" t="s">
        <v>9</v>
      </c>
      <c r="G216" s="199" t="s">
        <v>399</v>
      </c>
      <c r="H216" s="199" t="s">
        <v>611</v>
      </c>
      <c r="I216" s="199" t="s">
        <v>9</v>
      </c>
      <c r="J216" s="199" t="s">
        <v>399</v>
      </c>
      <c r="K216" s="199" t="s">
        <v>611</v>
      </c>
      <c r="L216" s="1"/>
      <c r="M216" s="1"/>
      <c r="N216" s="1"/>
    </row>
    <row r="217" spans="1:14" ht="39" hidden="1" customHeight="1" x14ac:dyDescent="0.25">
      <c r="A217" s="299"/>
      <c r="B217" s="269"/>
      <c r="C217" s="183" t="s">
        <v>44</v>
      </c>
      <c r="D217" s="183" t="s">
        <v>45</v>
      </c>
      <c r="E217" s="183" t="s">
        <v>46</v>
      </c>
      <c r="F217" s="183" t="s">
        <v>44</v>
      </c>
      <c r="G217" s="183" t="s">
        <v>45</v>
      </c>
      <c r="H217" s="183" t="s">
        <v>46</v>
      </c>
      <c r="I217" s="183" t="s">
        <v>44</v>
      </c>
      <c r="J217" s="183" t="s">
        <v>45</v>
      </c>
      <c r="K217" s="183" t="s">
        <v>46</v>
      </c>
      <c r="L217" s="1"/>
      <c r="M217" s="1"/>
      <c r="N217" s="1"/>
    </row>
    <row r="218" spans="1:14" hidden="1" x14ac:dyDescent="0.25">
      <c r="A218" s="185" t="s">
        <v>190</v>
      </c>
      <c r="B218" s="185" t="s">
        <v>73</v>
      </c>
      <c r="C218" s="185" t="s">
        <v>47</v>
      </c>
      <c r="D218" s="185" t="s">
        <v>48</v>
      </c>
      <c r="E218" s="185" t="s">
        <v>49</v>
      </c>
      <c r="F218" s="185" t="s">
        <v>52</v>
      </c>
      <c r="G218" s="185" t="s">
        <v>53</v>
      </c>
      <c r="H218" s="185" t="s">
        <v>91</v>
      </c>
      <c r="I218" s="185" t="s">
        <v>92</v>
      </c>
      <c r="J218" s="185" t="s">
        <v>93</v>
      </c>
      <c r="K218" s="185" t="s">
        <v>94</v>
      </c>
      <c r="L218" s="1"/>
      <c r="M218" s="1"/>
      <c r="N218" s="1"/>
    </row>
    <row r="219" spans="1:14" ht="25.5" hidden="1" x14ac:dyDescent="0.25">
      <c r="A219" s="4" t="s">
        <v>185</v>
      </c>
      <c r="B219" s="185" t="s">
        <v>98</v>
      </c>
      <c r="C219" s="206"/>
      <c r="D219" s="206"/>
      <c r="E219" s="206"/>
      <c r="F219" s="207"/>
      <c r="G219" s="207"/>
      <c r="H219" s="207"/>
      <c r="I219" s="184"/>
      <c r="J219" s="184"/>
      <c r="K219" s="184"/>
      <c r="L219" s="1"/>
      <c r="M219" s="1"/>
      <c r="N219" s="1"/>
    </row>
    <row r="220" spans="1:14" hidden="1" x14ac:dyDescent="0.25">
      <c r="A220" s="185" t="s">
        <v>427</v>
      </c>
      <c r="B220" s="185">
        <v>2420</v>
      </c>
      <c r="C220" s="185" t="s">
        <v>1</v>
      </c>
      <c r="D220" s="185" t="s">
        <v>1</v>
      </c>
      <c r="E220" s="185" t="s">
        <v>1</v>
      </c>
      <c r="F220" s="185" t="s">
        <v>1</v>
      </c>
      <c r="G220" s="185" t="s">
        <v>1</v>
      </c>
      <c r="H220" s="185" t="s">
        <v>1</v>
      </c>
      <c r="I220" s="30">
        <f>SUM(I219:I219)</f>
        <v>0</v>
      </c>
      <c r="J220" s="30">
        <f>SUM(J219:J219)</f>
        <v>0</v>
      </c>
      <c r="K220" s="30">
        <f>SUM(K219:K219)</f>
        <v>0</v>
      </c>
      <c r="L220" s="1"/>
      <c r="M220" s="1"/>
      <c r="N220" s="1"/>
    </row>
    <row r="221" spans="1:14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x14ac:dyDescent="0.25">
      <c r="A222" s="293" t="s">
        <v>606</v>
      </c>
      <c r="B222" s="293"/>
      <c r="C222" s="293"/>
      <c r="D222" s="293"/>
      <c r="E222" s="293"/>
      <c r="F222" s="293"/>
      <c r="G222" s="293"/>
      <c r="H222" s="293"/>
      <c r="I222" s="293"/>
      <c r="J222" s="293"/>
      <c r="K222" s="293"/>
      <c r="L222" s="293"/>
      <c r="M222" s="293"/>
      <c r="N222" s="293"/>
    </row>
    <row r="223" spans="1:14" hidden="1" x14ac:dyDescent="0.25">
      <c r="A223" s="299" t="s">
        <v>451</v>
      </c>
      <c r="B223" s="269" t="s">
        <v>72</v>
      </c>
      <c r="C223" s="269" t="s">
        <v>62</v>
      </c>
      <c r="D223" s="269"/>
      <c r="E223" s="269"/>
      <c r="F223" s="269" t="s">
        <v>129</v>
      </c>
      <c r="G223" s="269"/>
      <c r="H223" s="269"/>
      <c r="I223" s="269" t="s">
        <v>130</v>
      </c>
      <c r="J223" s="269"/>
      <c r="K223" s="269"/>
    </row>
    <row r="224" spans="1:14" hidden="1" x14ac:dyDescent="0.25">
      <c r="A224" s="299"/>
      <c r="B224" s="269"/>
      <c r="C224" s="241" t="s">
        <v>9</v>
      </c>
      <c r="D224" s="241" t="s">
        <v>399</v>
      </c>
      <c r="E224" s="241" t="s">
        <v>611</v>
      </c>
      <c r="F224" s="241" t="s">
        <v>9</v>
      </c>
      <c r="G224" s="241" t="s">
        <v>399</v>
      </c>
      <c r="H224" s="241" t="s">
        <v>611</v>
      </c>
      <c r="I224" s="241" t="s">
        <v>9</v>
      </c>
      <c r="J224" s="241" t="s">
        <v>399</v>
      </c>
      <c r="K224" s="241" t="s">
        <v>611</v>
      </c>
    </row>
    <row r="225" spans="1:11" ht="38.25" hidden="1" x14ac:dyDescent="0.25">
      <c r="A225" s="299"/>
      <c r="B225" s="269"/>
      <c r="C225" s="239" t="s">
        <v>44</v>
      </c>
      <c r="D225" s="239" t="s">
        <v>45</v>
      </c>
      <c r="E225" s="239" t="s">
        <v>46</v>
      </c>
      <c r="F225" s="239" t="s">
        <v>44</v>
      </c>
      <c r="G225" s="239" t="s">
        <v>45</v>
      </c>
      <c r="H225" s="239" t="s">
        <v>46</v>
      </c>
      <c r="I225" s="239" t="s">
        <v>44</v>
      </c>
      <c r="J225" s="239" t="s">
        <v>45</v>
      </c>
      <c r="K225" s="239" t="s">
        <v>46</v>
      </c>
    </row>
    <row r="226" spans="1:11" hidden="1" x14ac:dyDescent="0.25">
      <c r="A226" s="240" t="s">
        <v>190</v>
      </c>
      <c r="B226" s="240" t="s">
        <v>73</v>
      </c>
      <c r="C226" s="240" t="s">
        <v>47</v>
      </c>
      <c r="D226" s="240" t="s">
        <v>48</v>
      </c>
      <c r="E226" s="240" t="s">
        <v>49</v>
      </c>
      <c r="F226" s="240" t="s">
        <v>52</v>
      </c>
      <c r="G226" s="240" t="s">
        <v>53</v>
      </c>
      <c r="H226" s="240" t="s">
        <v>91</v>
      </c>
      <c r="I226" s="240" t="s">
        <v>92</v>
      </c>
      <c r="J226" s="240" t="s">
        <v>93</v>
      </c>
      <c r="K226" s="240" t="s">
        <v>94</v>
      </c>
    </row>
    <row r="227" spans="1:11" ht="38.25" hidden="1" x14ac:dyDescent="0.25">
      <c r="A227" s="4" t="s">
        <v>641</v>
      </c>
      <c r="B227" s="240" t="s">
        <v>98</v>
      </c>
      <c r="C227" s="238"/>
      <c r="D227" s="238"/>
      <c r="E227" s="238"/>
      <c r="F227" s="240"/>
      <c r="G227" s="240"/>
      <c r="H227" s="240"/>
      <c r="I227" s="238"/>
      <c r="J227" s="238">
        <v>0</v>
      </c>
      <c r="K227" s="238">
        <v>0</v>
      </c>
    </row>
    <row r="228" spans="1:11" hidden="1" x14ac:dyDescent="0.25">
      <c r="A228" s="240" t="s">
        <v>427</v>
      </c>
      <c r="B228" s="240">
        <v>2420</v>
      </c>
      <c r="C228" s="240" t="s">
        <v>1</v>
      </c>
      <c r="D228" s="240" t="s">
        <v>1</v>
      </c>
      <c r="E228" s="240" t="s">
        <v>1</v>
      </c>
      <c r="F228" s="240" t="s">
        <v>1</v>
      </c>
      <c r="G228" s="240" t="s">
        <v>1</v>
      </c>
      <c r="H228" s="240" t="s">
        <v>1</v>
      </c>
      <c r="I228" s="30">
        <f>SUM(I227:I227)</f>
        <v>0</v>
      </c>
      <c r="J228" s="30">
        <f>SUM(J227:J227)</f>
        <v>0</v>
      </c>
      <c r="K228" s="30">
        <f>SUM(K227:K227)</f>
        <v>0</v>
      </c>
    </row>
  </sheetData>
  <mergeCells count="90">
    <mergeCell ref="A223:A225"/>
    <mergeCell ref="B223:B225"/>
    <mergeCell ref="C223:E223"/>
    <mergeCell ref="F223:H223"/>
    <mergeCell ref="I223:K223"/>
    <mergeCell ref="A222:N222"/>
    <mergeCell ref="A213:N213"/>
    <mergeCell ref="A215:A217"/>
    <mergeCell ref="B215:B217"/>
    <mergeCell ref="C215:E215"/>
    <mergeCell ref="F215:H215"/>
    <mergeCell ref="I215:K215"/>
    <mergeCell ref="A3:L3"/>
    <mergeCell ref="A5:A7"/>
    <mergeCell ref="B5:B7"/>
    <mergeCell ref="C5:E5"/>
    <mergeCell ref="A20:A23"/>
    <mergeCell ref="B20:B23"/>
    <mergeCell ref="C20:C23"/>
    <mergeCell ref="D20:K20"/>
    <mergeCell ref="L20:L23"/>
    <mergeCell ref="D21:D23"/>
    <mergeCell ref="E21:K21"/>
    <mergeCell ref="E22:E23"/>
    <mergeCell ref="F22:F23"/>
    <mergeCell ref="G22:G23"/>
    <mergeCell ref="H22:I22"/>
    <mergeCell ref="J22:K22"/>
    <mergeCell ref="A57:A60"/>
    <mergeCell ref="B57:B60"/>
    <mergeCell ref="C57:C60"/>
    <mergeCell ref="D57:K57"/>
    <mergeCell ref="L57:L60"/>
    <mergeCell ref="D58:D60"/>
    <mergeCell ref="E58:K58"/>
    <mergeCell ref="E59:E60"/>
    <mergeCell ref="F59:F60"/>
    <mergeCell ref="G59:G60"/>
    <mergeCell ref="H59:I59"/>
    <mergeCell ref="J59:K59"/>
    <mergeCell ref="A131:L131"/>
    <mergeCell ref="A133:A135"/>
    <mergeCell ref="B133:B135"/>
    <mergeCell ref="C133:E133"/>
    <mergeCell ref="A94:A97"/>
    <mergeCell ref="B94:B97"/>
    <mergeCell ref="C94:C97"/>
    <mergeCell ref="D94:K94"/>
    <mergeCell ref="L94:L97"/>
    <mergeCell ref="D95:D97"/>
    <mergeCell ref="E95:K95"/>
    <mergeCell ref="E96:E97"/>
    <mergeCell ref="F96:F97"/>
    <mergeCell ref="G96:G97"/>
    <mergeCell ref="H96:I96"/>
    <mergeCell ref="J96:K96"/>
    <mergeCell ref="A144:L144"/>
    <mergeCell ref="A163:G163"/>
    <mergeCell ref="A165:N165"/>
    <mergeCell ref="A167:A169"/>
    <mergeCell ref="B167:B169"/>
    <mergeCell ref="C167:E167"/>
    <mergeCell ref="F167:G167"/>
    <mergeCell ref="H167:J167"/>
    <mergeCell ref="A146:A148"/>
    <mergeCell ref="B146:B148"/>
    <mergeCell ref="C146:E146"/>
    <mergeCell ref="F146:H146"/>
    <mergeCell ref="L186:N186"/>
    <mergeCell ref="A176:A178"/>
    <mergeCell ref="B176:B178"/>
    <mergeCell ref="C176:E176"/>
    <mergeCell ref="F176:H176"/>
    <mergeCell ref="I176:K176"/>
    <mergeCell ref="L176:N176"/>
    <mergeCell ref="A186:A188"/>
    <mergeCell ref="B186:B188"/>
    <mergeCell ref="C186:E186"/>
    <mergeCell ref="F186:H186"/>
    <mergeCell ref="I186:K186"/>
    <mergeCell ref="A206:A208"/>
    <mergeCell ref="B206:B208"/>
    <mergeCell ref="C206:E206"/>
    <mergeCell ref="F206:H206"/>
    <mergeCell ref="I206:K206"/>
    <mergeCell ref="A195:A197"/>
    <mergeCell ref="B195:B197"/>
    <mergeCell ref="C195:E195"/>
    <mergeCell ref="F195:H195"/>
    <mergeCell ref="I195:K195"/>
  </mergeCells>
  <conditionalFormatting sqref="N53">
    <cfRule type="cellIs" dxfId="1" priority="1" operator="notEqual">
      <formula>0</formula>
    </cfRule>
    <cfRule type="cellIs" dxfId="0" priority="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5" fitToHeight="0" orientation="landscape" r:id="rId1"/>
  <rowBreaks count="5" manualBreakCount="5">
    <brk id="53" max="13" man="1"/>
    <brk id="88" max="13" man="1"/>
    <brk id="123" max="13" man="1"/>
    <brk id="153" max="13" man="1"/>
    <brk id="182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00B050"/>
  </sheetPr>
  <dimension ref="A2:V162"/>
  <sheetViews>
    <sheetView tabSelected="1" view="pageBreakPreview" zoomScaleSheetLayoutView="100" workbookViewId="0">
      <selection activeCell="G169" sqref="G169"/>
    </sheetView>
  </sheetViews>
  <sheetFormatPr defaultRowHeight="12.75" x14ac:dyDescent="0.2"/>
  <cols>
    <col min="1" max="1" width="32" customWidth="1"/>
    <col min="2" max="2" width="7.28515625" customWidth="1"/>
    <col min="3" max="3" width="12.85546875" customWidth="1"/>
    <col min="4" max="4" width="12.7109375" customWidth="1"/>
    <col min="5" max="5" width="12" customWidth="1"/>
    <col min="6" max="6" width="11.28515625" customWidth="1"/>
    <col min="7" max="7" width="11.140625" customWidth="1"/>
    <col min="8" max="8" width="10.7109375" customWidth="1"/>
    <col min="9" max="9" width="11.28515625" customWidth="1"/>
    <col min="10" max="10" width="12.7109375" customWidth="1"/>
    <col min="11" max="11" width="11.7109375" customWidth="1"/>
    <col min="12" max="12" width="11" customWidth="1"/>
    <col min="13" max="13" width="11.42578125" customWidth="1"/>
    <col min="14" max="14" width="10.28515625" customWidth="1"/>
    <col min="15" max="15" width="11.28515625" bestFit="1" customWidth="1"/>
  </cols>
  <sheetData>
    <row r="2" spans="1:22" s="1" customFormat="1" ht="25.5" customHeight="1" x14ac:dyDescent="0.25">
      <c r="A2" s="347" t="s">
        <v>522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11"/>
      <c r="P2" s="11"/>
      <c r="Q2" s="11"/>
      <c r="R2" s="11"/>
      <c r="S2" s="11"/>
      <c r="T2" s="11"/>
      <c r="U2" s="11"/>
      <c r="V2" s="11"/>
    </row>
    <row r="3" spans="1:22" s="1" customFormat="1" ht="13.5" customHeight="1" x14ac:dyDescent="0.25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"/>
      <c r="P3" s="11"/>
      <c r="Q3" s="11"/>
      <c r="R3" s="11"/>
      <c r="S3" s="11"/>
      <c r="T3" s="11"/>
      <c r="U3" s="11"/>
      <c r="V3" s="11"/>
    </row>
    <row r="4" spans="1:22" s="1" customFormat="1" ht="15.75" x14ac:dyDescent="0.25">
      <c r="A4" s="8" t="s">
        <v>398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11"/>
      <c r="P4" s="11"/>
      <c r="Q4" s="11"/>
      <c r="R4" s="11"/>
      <c r="S4" s="11"/>
      <c r="T4" s="11"/>
      <c r="U4" s="11"/>
      <c r="V4" s="11"/>
    </row>
    <row r="5" spans="1:22" s="1" customFormat="1" ht="14.25" customHeight="1" x14ac:dyDescent="0.25"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11"/>
      <c r="P5" s="11"/>
      <c r="Q5" s="11"/>
      <c r="R5" s="11"/>
      <c r="S5" s="11"/>
      <c r="T5" s="11"/>
      <c r="U5" s="11"/>
      <c r="V5" s="11"/>
    </row>
    <row r="6" spans="1:22" s="1" customFormat="1" ht="15.75" x14ac:dyDescent="0.25">
      <c r="A6" s="298" t="s">
        <v>193</v>
      </c>
      <c r="B6" s="308" t="s">
        <v>72</v>
      </c>
      <c r="C6" s="306" t="s">
        <v>43</v>
      </c>
      <c r="D6" s="306"/>
      <c r="E6" s="306"/>
      <c r="F6" s="85"/>
      <c r="G6" s="85"/>
      <c r="H6" s="85"/>
      <c r="I6" s="85"/>
      <c r="J6" s="85"/>
      <c r="K6" s="85"/>
      <c r="L6" s="85"/>
      <c r="M6" s="85"/>
      <c r="N6" s="85"/>
      <c r="O6" s="11"/>
      <c r="P6" s="11"/>
      <c r="Q6" s="11"/>
      <c r="R6" s="11"/>
      <c r="S6" s="11"/>
      <c r="T6" s="11"/>
      <c r="U6" s="11"/>
      <c r="V6" s="11"/>
    </row>
    <row r="7" spans="1:22" s="1" customFormat="1" ht="15.75" x14ac:dyDescent="0.25">
      <c r="A7" s="298"/>
      <c r="B7" s="308"/>
      <c r="C7" s="48" t="s">
        <v>399</v>
      </c>
      <c r="D7" s="48" t="s">
        <v>611</v>
      </c>
      <c r="E7" s="48" t="s">
        <v>650</v>
      </c>
      <c r="F7" s="85"/>
      <c r="G7" s="85"/>
      <c r="H7" s="85"/>
      <c r="I7" s="85"/>
      <c r="J7" s="85"/>
      <c r="K7" s="85"/>
      <c r="L7" s="85"/>
      <c r="M7" s="85"/>
      <c r="N7" s="85"/>
      <c r="O7" s="11"/>
      <c r="P7" s="11"/>
      <c r="Q7" s="11"/>
      <c r="R7" s="11"/>
      <c r="S7" s="11"/>
      <c r="T7" s="11"/>
      <c r="U7" s="11"/>
      <c r="V7" s="11"/>
    </row>
    <row r="8" spans="1:22" s="1" customFormat="1" ht="51" customHeight="1" x14ac:dyDescent="0.25">
      <c r="A8" s="298"/>
      <c r="B8" s="308"/>
      <c r="C8" s="50" t="s">
        <v>44</v>
      </c>
      <c r="D8" s="50" t="s">
        <v>45</v>
      </c>
      <c r="E8" s="50" t="s">
        <v>46</v>
      </c>
      <c r="F8" s="85"/>
      <c r="G8" s="85"/>
      <c r="H8" s="85"/>
      <c r="I8" s="85"/>
      <c r="J8" s="85"/>
      <c r="K8" s="85"/>
      <c r="L8" s="85"/>
      <c r="M8" s="85"/>
      <c r="N8" s="85"/>
      <c r="O8" s="11"/>
      <c r="P8" s="11"/>
      <c r="Q8" s="11"/>
      <c r="R8" s="11"/>
      <c r="S8" s="11"/>
      <c r="T8" s="11"/>
      <c r="U8" s="11"/>
      <c r="V8" s="11"/>
    </row>
    <row r="9" spans="1:22" s="1" customFormat="1" ht="19.5" customHeight="1" x14ac:dyDescent="0.25">
      <c r="A9" s="51" t="s">
        <v>190</v>
      </c>
      <c r="B9" s="48" t="s">
        <v>73</v>
      </c>
      <c r="C9" s="48" t="s">
        <v>47</v>
      </c>
      <c r="D9" s="48" t="s">
        <v>48</v>
      </c>
      <c r="E9" s="48" t="s">
        <v>49</v>
      </c>
      <c r="F9" s="85"/>
      <c r="G9" s="85"/>
      <c r="H9" s="85"/>
      <c r="I9" s="85"/>
      <c r="J9" s="85"/>
      <c r="K9" s="85"/>
      <c r="L9" s="85"/>
      <c r="M9" s="85"/>
      <c r="N9" s="85"/>
      <c r="O9" s="11"/>
      <c r="P9" s="11"/>
      <c r="Q9" s="11"/>
      <c r="R9" s="11"/>
      <c r="S9" s="11"/>
      <c r="T9" s="11"/>
      <c r="U9" s="11"/>
      <c r="V9" s="11"/>
    </row>
    <row r="10" spans="1:22" s="1" customFormat="1" ht="80.25" customHeight="1" x14ac:dyDescent="0.25">
      <c r="A10" s="3" t="s">
        <v>471</v>
      </c>
      <c r="B10" s="50" t="s">
        <v>74</v>
      </c>
      <c r="C10" s="70">
        <v>0</v>
      </c>
      <c r="D10" s="70">
        <v>0</v>
      </c>
      <c r="E10" s="70">
        <v>0</v>
      </c>
      <c r="F10" s="85"/>
      <c r="G10" s="85"/>
      <c r="H10" s="85"/>
      <c r="I10" s="85"/>
      <c r="J10" s="85"/>
      <c r="K10" s="85"/>
      <c r="L10" s="85"/>
      <c r="M10" s="85"/>
      <c r="N10" s="85"/>
      <c r="O10" s="11"/>
      <c r="P10" s="11"/>
      <c r="Q10" s="11"/>
      <c r="R10" s="11"/>
      <c r="S10" s="11"/>
      <c r="T10" s="11"/>
      <c r="U10" s="11"/>
      <c r="V10" s="11"/>
    </row>
    <row r="11" spans="1:22" s="1" customFormat="1" ht="54" customHeight="1" x14ac:dyDescent="0.25">
      <c r="A11" s="3" t="s">
        <v>472</v>
      </c>
      <c r="B11" s="50" t="s">
        <v>75</v>
      </c>
      <c r="C11" s="222">
        <v>0</v>
      </c>
      <c r="D11" s="222">
        <v>0</v>
      </c>
      <c r="E11" s="222">
        <v>0</v>
      </c>
      <c r="F11" s="85"/>
      <c r="G11" s="85"/>
      <c r="H11" s="85"/>
      <c r="I11" s="85"/>
      <c r="J11" s="85"/>
      <c r="K11" s="85"/>
      <c r="L11" s="85"/>
      <c r="M11" s="85"/>
      <c r="N11" s="85"/>
      <c r="O11" s="11"/>
      <c r="P11" s="11"/>
      <c r="Q11" s="11"/>
      <c r="R11" s="11"/>
      <c r="S11" s="11"/>
      <c r="T11" s="11"/>
      <c r="U11" s="11"/>
      <c r="V11" s="11"/>
    </row>
    <row r="12" spans="1:22" s="1" customFormat="1" ht="26.25" x14ac:dyDescent="0.25">
      <c r="A12" s="7" t="s">
        <v>473</v>
      </c>
      <c r="B12" s="50" t="s">
        <v>76</v>
      </c>
      <c r="C12" s="108">
        <f>SUM(C13:C26)</f>
        <v>7512035.9989700001</v>
      </c>
      <c r="D12" s="108">
        <f t="shared" ref="D12:E12" si="0">SUM(D13:D26)</f>
        <v>7523486.9989700001</v>
      </c>
      <c r="E12" s="108">
        <f t="shared" si="0"/>
        <v>7343884.9989700001</v>
      </c>
      <c r="F12" s="85"/>
      <c r="G12" s="85"/>
      <c r="H12" s="85"/>
      <c r="I12" s="85"/>
      <c r="J12" s="85"/>
      <c r="K12" s="85"/>
      <c r="L12" s="85"/>
      <c r="M12" s="85"/>
      <c r="N12" s="85"/>
      <c r="O12" s="11"/>
      <c r="P12" s="11"/>
      <c r="Q12" s="11"/>
      <c r="R12" s="11"/>
      <c r="S12" s="11"/>
      <c r="T12" s="11"/>
      <c r="U12" s="11"/>
      <c r="V12" s="11"/>
    </row>
    <row r="13" spans="1:22" s="1" customFormat="1" ht="15.75" x14ac:dyDescent="0.25">
      <c r="A13" s="55" t="s">
        <v>109</v>
      </c>
      <c r="B13" s="308" t="s">
        <v>133</v>
      </c>
      <c r="C13" s="346">
        <f>L38</f>
        <v>50000</v>
      </c>
      <c r="D13" s="346">
        <f t="shared" ref="D13:E13" si="1">M38</f>
        <v>50000</v>
      </c>
      <c r="E13" s="346">
        <f t="shared" si="1"/>
        <v>50000</v>
      </c>
      <c r="F13" s="85"/>
      <c r="G13" s="85"/>
      <c r="H13" s="85"/>
      <c r="I13" s="85"/>
      <c r="J13" s="85"/>
      <c r="K13" s="85"/>
      <c r="L13" s="85"/>
      <c r="M13" s="85"/>
      <c r="N13" s="85"/>
      <c r="O13" s="11"/>
      <c r="P13" s="11"/>
      <c r="Q13" s="11"/>
      <c r="R13" s="11"/>
      <c r="S13" s="11"/>
      <c r="T13" s="11"/>
      <c r="U13" s="11"/>
      <c r="V13" s="11"/>
    </row>
    <row r="14" spans="1:22" s="1" customFormat="1" ht="15.75" x14ac:dyDescent="0.25">
      <c r="A14" s="55" t="s">
        <v>329</v>
      </c>
      <c r="B14" s="308"/>
      <c r="C14" s="346"/>
      <c r="D14" s="346"/>
      <c r="E14" s="346"/>
      <c r="F14" s="85"/>
      <c r="G14" s="85"/>
      <c r="H14" s="85"/>
      <c r="I14" s="85"/>
      <c r="J14" s="85"/>
      <c r="K14" s="85"/>
      <c r="L14" s="85"/>
      <c r="M14" s="85"/>
      <c r="N14" s="85"/>
      <c r="O14" s="11"/>
      <c r="P14" s="11"/>
      <c r="Q14" s="11"/>
      <c r="R14" s="11"/>
      <c r="S14" s="11"/>
      <c r="T14" s="11"/>
      <c r="U14" s="11"/>
      <c r="V14" s="11"/>
    </row>
    <row r="15" spans="1:22" s="1" customFormat="1" ht="15.75" x14ac:dyDescent="0.25">
      <c r="A15" s="55" t="s">
        <v>337</v>
      </c>
      <c r="B15" s="50" t="s">
        <v>134</v>
      </c>
      <c r="C15" s="70">
        <f>I47</f>
        <v>0</v>
      </c>
      <c r="D15" s="70">
        <f>J46</f>
        <v>0</v>
      </c>
      <c r="E15" s="70">
        <f>K47</f>
        <v>0</v>
      </c>
      <c r="F15" s="85"/>
      <c r="G15" s="85"/>
      <c r="H15" s="85"/>
      <c r="I15" s="85"/>
      <c r="J15" s="85"/>
      <c r="K15" s="85"/>
      <c r="L15" s="85"/>
      <c r="M15" s="85"/>
      <c r="N15" s="85"/>
      <c r="O15" s="11"/>
      <c r="P15" s="11"/>
      <c r="Q15" s="11"/>
      <c r="R15" s="11"/>
      <c r="S15" s="11"/>
      <c r="T15" s="11"/>
      <c r="U15" s="11"/>
      <c r="V15" s="11"/>
    </row>
    <row r="16" spans="1:22" s="1" customFormat="1" ht="15.75" x14ac:dyDescent="0.25">
      <c r="A16" s="55" t="s">
        <v>483</v>
      </c>
      <c r="B16" s="50" t="s">
        <v>135</v>
      </c>
      <c r="C16" s="70">
        <f>I61+L61</f>
        <v>91913.272690000013</v>
      </c>
      <c r="D16" s="70">
        <f t="shared" ref="D16:E16" si="2">J61</f>
        <v>91913.272690000013</v>
      </c>
      <c r="E16" s="70">
        <f t="shared" si="2"/>
        <v>91913.272690000013</v>
      </c>
      <c r="F16" s="85"/>
      <c r="G16" s="85"/>
      <c r="H16" s="85"/>
      <c r="I16" s="85"/>
      <c r="J16" s="85"/>
      <c r="K16" s="85"/>
      <c r="L16" s="85"/>
      <c r="M16" s="85"/>
      <c r="N16" s="85"/>
      <c r="O16" s="11"/>
      <c r="P16" s="11"/>
      <c r="Q16" s="11"/>
      <c r="R16" s="11"/>
      <c r="S16" s="11"/>
      <c r="T16" s="11"/>
      <c r="U16" s="11"/>
      <c r="V16" s="11"/>
    </row>
    <row r="17" spans="1:22" s="1" customFormat="1" ht="15.75" x14ac:dyDescent="0.25">
      <c r="A17" s="55" t="s">
        <v>484</v>
      </c>
      <c r="B17" s="50" t="s">
        <v>136</v>
      </c>
      <c r="C17" s="70">
        <f>I71+L71</f>
        <v>855757.72628000006</v>
      </c>
      <c r="D17" s="70">
        <f>J71</f>
        <v>855757.72628000006</v>
      </c>
      <c r="E17" s="70">
        <f>K71</f>
        <v>855757.72628000006</v>
      </c>
      <c r="F17" s="85"/>
      <c r="G17" s="85"/>
      <c r="H17" s="85"/>
      <c r="I17" s="85"/>
      <c r="J17" s="85"/>
      <c r="K17" s="85"/>
      <c r="L17" s="85"/>
      <c r="M17" s="85"/>
      <c r="N17" s="85"/>
      <c r="O17" s="11"/>
      <c r="P17" s="11"/>
      <c r="Q17" s="11"/>
      <c r="R17" s="11"/>
      <c r="S17" s="11"/>
      <c r="T17" s="11"/>
      <c r="U17" s="11"/>
      <c r="V17" s="11"/>
    </row>
    <row r="18" spans="1:22" s="1" customFormat="1" ht="15.75" x14ac:dyDescent="0.25">
      <c r="A18" s="55" t="s">
        <v>477</v>
      </c>
      <c r="B18" s="50" t="s">
        <v>137</v>
      </c>
      <c r="C18" s="70">
        <f>L80</f>
        <v>0</v>
      </c>
      <c r="D18" s="70">
        <f t="shared" ref="D18:E18" si="3">M80</f>
        <v>0</v>
      </c>
      <c r="E18" s="70">
        <f t="shared" si="3"/>
        <v>0</v>
      </c>
      <c r="F18" s="85"/>
      <c r="G18" s="85"/>
      <c r="H18" s="85"/>
      <c r="I18" s="85"/>
      <c r="J18" s="85"/>
      <c r="K18" s="85"/>
      <c r="L18" s="85"/>
      <c r="M18" s="85"/>
      <c r="N18" s="85"/>
      <c r="O18" s="11"/>
      <c r="P18" s="11"/>
      <c r="Q18" s="11"/>
      <c r="R18" s="11"/>
      <c r="S18" s="11"/>
      <c r="T18" s="11"/>
      <c r="U18" s="11"/>
      <c r="V18" s="11"/>
    </row>
    <row r="19" spans="1:22" s="1" customFormat="1" ht="15.75" x14ac:dyDescent="0.25">
      <c r="A19" s="55" t="s">
        <v>478</v>
      </c>
      <c r="B19" s="50" t="s">
        <v>138</v>
      </c>
      <c r="C19" s="70">
        <f>I97+L97</f>
        <v>1573864</v>
      </c>
      <c r="D19" s="70">
        <f t="shared" ref="D19:E19" si="4">J97</f>
        <v>1573864</v>
      </c>
      <c r="E19" s="70">
        <f t="shared" si="4"/>
        <v>1573864</v>
      </c>
      <c r="F19" s="85"/>
      <c r="G19" s="85"/>
      <c r="H19" s="85"/>
      <c r="I19" s="85"/>
      <c r="J19" s="85"/>
      <c r="K19" s="85"/>
      <c r="L19" s="85"/>
      <c r="M19" s="85"/>
      <c r="N19" s="85"/>
      <c r="O19" s="11"/>
      <c r="P19" s="11"/>
      <c r="Q19" s="11"/>
      <c r="R19" s="11"/>
      <c r="S19" s="11"/>
      <c r="T19" s="11"/>
      <c r="U19" s="11"/>
      <c r="V19" s="11"/>
    </row>
    <row r="20" spans="1:22" s="1" customFormat="1" ht="15.75" x14ac:dyDescent="0.25">
      <c r="A20" s="55" t="s">
        <v>323</v>
      </c>
      <c r="B20" s="50" t="s">
        <v>139</v>
      </c>
      <c r="C20" s="70">
        <f>I125</f>
        <v>0</v>
      </c>
      <c r="D20" s="70">
        <f t="shared" ref="D20:E20" si="5">J125</f>
        <v>0</v>
      </c>
      <c r="E20" s="70">
        <f t="shared" si="5"/>
        <v>0</v>
      </c>
      <c r="F20" s="85"/>
      <c r="G20" s="85"/>
      <c r="H20" s="85"/>
      <c r="I20" s="85"/>
      <c r="J20" s="85"/>
      <c r="K20" s="85"/>
      <c r="L20" s="85"/>
      <c r="M20" s="85"/>
      <c r="N20" s="85"/>
      <c r="O20" s="11"/>
      <c r="P20" s="11"/>
      <c r="Q20" s="11"/>
      <c r="R20" s="11"/>
      <c r="S20" s="11"/>
      <c r="T20" s="11"/>
      <c r="U20" s="11"/>
      <c r="V20" s="11"/>
    </row>
    <row r="21" spans="1:22" s="1" customFormat="1" ht="38.25" x14ac:dyDescent="0.25">
      <c r="A21" s="3" t="s">
        <v>479</v>
      </c>
      <c r="B21" s="50" t="s">
        <v>140</v>
      </c>
      <c r="C21" s="70">
        <f>I106</f>
        <v>0</v>
      </c>
      <c r="D21" s="70">
        <f>J106</f>
        <v>0</v>
      </c>
      <c r="E21" s="70">
        <f>K106</f>
        <v>0</v>
      </c>
      <c r="F21" s="85"/>
      <c r="G21" s="85"/>
      <c r="H21" s="85"/>
      <c r="I21" s="85"/>
      <c r="J21" s="85"/>
      <c r="K21" s="85"/>
      <c r="L21" s="85"/>
      <c r="M21" s="85"/>
      <c r="N21" s="85"/>
      <c r="O21" s="11"/>
      <c r="P21" s="11"/>
      <c r="Q21" s="11"/>
      <c r="R21" s="11"/>
      <c r="S21" s="11"/>
      <c r="T21" s="11"/>
      <c r="U21" s="11"/>
      <c r="V21" s="11"/>
    </row>
    <row r="22" spans="1:22" s="1" customFormat="1" ht="80.25" customHeight="1" x14ac:dyDescent="0.25">
      <c r="A22" s="4" t="s">
        <v>480</v>
      </c>
      <c r="B22" s="50" t="s">
        <v>141</v>
      </c>
      <c r="C22" s="70">
        <f>I116+L116</f>
        <v>4940501</v>
      </c>
      <c r="D22" s="70">
        <f t="shared" ref="D22:E22" si="6">J116</f>
        <v>4951952</v>
      </c>
      <c r="E22" s="70">
        <f t="shared" si="6"/>
        <v>4772350</v>
      </c>
      <c r="F22" s="85"/>
      <c r="G22" s="85"/>
      <c r="H22" s="85"/>
      <c r="I22" s="85"/>
      <c r="J22" s="85"/>
      <c r="K22" s="85"/>
      <c r="L22" s="85"/>
      <c r="M22" s="85"/>
      <c r="N22" s="85"/>
      <c r="O22" s="11"/>
      <c r="P22" s="11"/>
      <c r="Q22" s="11"/>
      <c r="R22" s="11"/>
      <c r="S22" s="11"/>
      <c r="T22" s="11"/>
      <c r="U22" s="11"/>
      <c r="V22" s="11"/>
    </row>
    <row r="23" spans="1:22" s="1" customFormat="1" ht="28.5" customHeight="1" x14ac:dyDescent="0.25">
      <c r="A23" s="4" t="s">
        <v>324</v>
      </c>
      <c r="B23" s="50" t="s">
        <v>77</v>
      </c>
      <c r="C23" s="70">
        <f>I134</f>
        <v>0</v>
      </c>
      <c r="D23" s="70">
        <f t="shared" ref="D23:E23" si="7">J134</f>
        <v>0</v>
      </c>
      <c r="E23" s="70">
        <f t="shared" si="7"/>
        <v>0</v>
      </c>
      <c r="F23" s="85"/>
      <c r="G23" s="85"/>
      <c r="H23" s="85"/>
      <c r="I23" s="85"/>
      <c r="J23" s="85"/>
      <c r="K23" s="85"/>
      <c r="L23" s="85"/>
      <c r="M23" s="85"/>
      <c r="N23" s="85"/>
      <c r="O23" s="11"/>
      <c r="P23" s="11"/>
      <c r="Q23" s="11"/>
      <c r="R23" s="11"/>
      <c r="S23" s="11"/>
      <c r="T23" s="11"/>
      <c r="U23" s="11"/>
      <c r="V23" s="11"/>
    </row>
    <row r="24" spans="1:22" s="1" customFormat="1" ht="28.5" customHeight="1" x14ac:dyDescent="0.25">
      <c r="A24" s="4" t="s">
        <v>326</v>
      </c>
      <c r="B24" s="236" t="s">
        <v>485</v>
      </c>
      <c r="C24" s="234">
        <f>I143</f>
        <v>0</v>
      </c>
      <c r="D24" s="237">
        <f t="shared" ref="D24:E24" si="8">J143</f>
        <v>0</v>
      </c>
      <c r="E24" s="237">
        <f t="shared" si="8"/>
        <v>0</v>
      </c>
      <c r="F24" s="85"/>
      <c r="G24" s="85"/>
      <c r="H24" s="85"/>
      <c r="I24" s="85"/>
      <c r="J24" s="85"/>
      <c r="K24" s="85"/>
      <c r="L24" s="85"/>
      <c r="M24" s="85"/>
      <c r="N24" s="85"/>
      <c r="O24" s="11"/>
      <c r="P24" s="11"/>
      <c r="Q24" s="11"/>
      <c r="R24" s="11"/>
      <c r="S24" s="11"/>
      <c r="T24" s="11"/>
      <c r="U24" s="11"/>
      <c r="V24" s="11"/>
    </row>
    <row r="25" spans="1:22" s="1" customFormat="1" ht="28.5" customHeight="1" x14ac:dyDescent="0.25">
      <c r="A25" s="4" t="s">
        <v>328</v>
      </c>
      <c r="B25" s="245" t="s">
        <v>537</v>
      </c>
      <c r="C25" s="246">
        <f>I153</f>
        <v>0</v>
      </c>
      <c r="D25" s="246">
        <f t="shared" ref="D25:E25" si="9">J153</f>
        <v>0</v>
      </c>
      <c r="E25" s="246">
        <f t="shared" si="9"/>
        <v>0</v>
      </c>
      <c r="F25" s="85"/>
      <c r="G25" s="85"/>
      <c r="H25" s="85"/>
      <c r="I25" s="85"/>
      <c r="J25" s="85"/>
      <c r="K25" s="85"/>
      <c r="L25" s="85"/>
      <c r="M25" s="85"/>
      <c r="N25" s="85"/>
      <c r="O25" s="11"/>
      <c r="P25" s="11"/>
      <c r="Q25" s="11"/>
      <c r="R25" s="11"/>
      <c r="S25" s="11"/>
      <c r="T25" s="11"/>
      <c r="U25" s="11"/>
      <c r="V25" s="11"/>
    </row>
    <row r="26" spans="1:22" s="1" customFormat="1" ht="25.5" customHeight="1" x14ac:dyDescent="0.25">
      <c r="A26" s="4" t="s">
        <v>509</v>
      </c>
      <c r="B26" s="245" t="s">
        <v>538</v>
      </c>
      <c r="C26" s="70">
        <f>I162</f>
        <v>0</v>
      </c>
      <c r="D26" s="70">
        <f>J162</f>
        <v>0</v>
      </c>
      <c r="E26" s="70">
        <f>K162</f>
        <v>0</v>
      </c>
      <c r="F26" s="85"/>
      <c r="G26" s="85"/>
      <c r="H26" s="85"/>
      <c r="I26" s="85"/>
      <c r="J26" s="85"/>
      <c r="K26" s="85"/>
      <c r="L26" s="85"/>
      <c r="M26" s="85"/>
      <c r="N26" s="85"/>
      <c r="O26" s="11"/>
      <c r="P26" s="11"/>
      <c r="Q26" s="11"/>
      <c r="R26" s="11"/>
      <c r="S26" s="11"/>
      <c r="T26" s="11"/>
      <c r="U26" s="11"/>
      <c r="V26" s="11"/>
    </row>
    <row r="27" spans="1:22" s="1" customFormat="1" ht="79.5" customHeight="1" x14ac:dyDescent="0.25">
      <c r="A27" s="4" t="s">
        <v>474</v>
      </c>
      <c r="B27" s="50" t="s">
        <v>86</v>
      </c>
      <c r="C27" s="70">
        <v>0</v>
      </c>
      <c r="D27" s="70">
        <v>0</v>
      </c>
      <c r="E27" s="70">
        <v>0</v>
      </c>
      <c r="F27" s="85"/>
      <c r="G27" s="85"/>
      <c r="H27" s="85"/>
      <c r="I27" s="85"/>
      <c r="J27" s="85"/>
      <c r="K27" s="85"/>
      <c r="L27" s="85"/>
      <c r="M27" s="85"/>
      <c r="N27" s="85"/>
      <c r="O27" s="11"/>
      <c r="P27" s="11"/>
      <c r="Q27" s="11"/>
      <c r="R27" s="11"/>
      <c r="S27" s="11"/>
      <c r="T27" s="11"/>
      <c r="U27" s="11"/>
      <c r="V27" s="11"/>
    </row>
    <row r="28" spans="1:22" s="1" customFormat="1" ht="54" customHeight="1" x14ac:dyDescent="0.25">
      <c r="A28" s="4" t="s">
        <v>475</v>
      </c>
      <c r="B28" s="50" t="s">
        <v>87</v>
      </c>
      <c r="C28" s="70">
        <v>0</v>
      </c>
      <c r="D28" s="70">
        <v>0</v>
      </c>
      <c r="E28" s="70">
        <v>0</v>
      </c>
      <c r="F28" s="85"/>
      <c r="G28" s="85"/>
      <c r="H28" s="85"/>
      <c r="I28" s="85"/>
      <c r="J28" s="85"/>
      <c r="K28" s="85"/>
      <c r="L28" s="85"/>
      <c r="M28" s="85"/>
      <c r="N28" s="85"/>
      <c r="O28" s="11"/>
      <c r="P28" s="11"/>
      <c r="Q28" s="11"/>
      <c r="R28" s="11"/>
      <c r="S28" s="11"/>
      <c r="T28" s="11"/>
      <c r="U28" s="11"/>
      <c r="V28" s="11"/>
    </row>
    <row r="29" spans="1:22" s="1" customFormat="1" ht="50.25" customHeight="1" x14ac:dyDescent="0.25">
      <c r="A29" s="4" t="s">
        <v>476</v>
      </c>
      <c r="B29" s="50" t="s">
        <v>88</v>
      </c>
      <c r="C29" s="108">
        <f>C10-C11+C12-C27+C28</f>
        <v>7512035.9989700001</v>
      </c>
      <c r="D29" s="108">
        <f t="shared" ref="D29:E29" si="10">D10-D11+D12-D27+D28</f>
        <v>7523486.9989700001</v>
      </c>
      <c r="E29" s="108">
        <f t="shared" si="10"/>
        <v>7343884.9989700001</v>
      </c>
      <c r="F29" s="85"/>
      <c r="G29" s="85"/>
      <c r="H29" s="85"/>
      <c r="I29" s="85"/>
      <c r="J29" s="85"/>
      <c r="K29" s="85"/>
      <c r="L29" s="85"/>
      <c r="M29" s="85"/>
      <c r="N29" s="85"/>
      <c r="O29" s="11"/>
      <c r="P29" s="11"/>
      <c r="Q29" s="11"/>
      <c r="R29" s="11"/>
      <c r="S29" s="11"/>
      <c r="T29" s="11"/>
      <c r="U29" s="11"/>
      <c r="V29" s="11"/>
    </row>
    <row r="30" spans="1:22" s="1" customFormat="1" ht="15.75" x14ac:dyDescent="0.25"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11"/>
      <c r="P30" s="11"/>
      <c r="Q30" s="11"/>
      <c r="R30" s="11"/>
      <c r="S30" s="11"/>
      <c r="T30" s="11"/>
      <c r="U30" s="11"/>
      <c r="V30" s="11"/>
    </row>
    <row r="31" spans="1:22" s="1" customFormat="1" ht="15.75" x14ac:dyDescent="0.25">
      <c r="A31" s="8" t="s">
        <v>481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11"/>
      <c r="P31" s="11"/>
      <c r="Q31" s="11"/>
      <c r="R31" s="11"/>
      <c r="S31" s="11"/>
      <c r="T31" s="11"/>
      <c r="U31" s="11"/>
      <c r="V31" s="11"/>
    </row>
    <row r="32" spans="1:22" s="1" customFormat="1" ht="14.25" customHeight="1" x14ac:dyDescent="0.25"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11"/>
      <c r="P32" s="11"/>
      <c r="Q32" s="11"/>
      <c r="R32" s="11"/>
      <c r="S32" s="11"/>
      <c r="T32" s="11"/>
      <c r="U32" s="11"/>
      <c r="V32" s="11"/>
    </row>
    <row r="33" spans="1:22" s="1" customFormat="1" ht="15.75" x14ac:dyDescent="0.25">
      <c r="A33" s="299" t="s">
        <v>451</v>
      </c>
      <c r="B33" s="307" t="s">
        <v>72</v>
      </c>
      <c r="C33" s="305" t="s">
        <v>64</v>
      </c>
      <c r="D33" s="305"/>
      <c r="E33" s="305"/>
      <c r="F33" s="305" t="s">
        <v>142</v>
      </c>
      <c r="G33" s="305"/>
      <c r="H33" s="305"/>
      <c r="I33" s="305" t="s">
        <v>143</v>
      </c>
      <c r="J33" s="305"/>
      <c r="K33" s="305"/>
      <c r="L33" s="305" t="s">
        <v>43</v>
      </c>
      <c r="M33" s="305"/>
      <c r="N33" s="305"/>
      <c r="O33" s="11"/>
      <c r="P33" s="11"/>
      <c r="Q33" s="11"/>
      <c r="R33" s="11"/>
      <c r="S33" s="11"/>
      <c r="T33" s="11"/>
      <c r="U33" s="11"/>
      <c r="V33" s="11"/>
    </row>
    <row r="34" spans="1:22" s="1" customFormat="1" ht="15.75" x14ac:dyDescent="0.25">
      <c r="A34" s="299"/>
      <c r="B34" s="307"/>
      <c r="C34" s="253" t="s">
        <v>399</v>
      </c>
      <c r="D34" s="253" t="s">
        <v>611</v>
      </c>
      <c r="E34" s="253" t="s">
        <v>650</v>
      </c>
      <c r="F34" s="253" t="s">
        <v>399</v>
      </c>
      <c r="G34" s="253" t="s">
        <v>611</v>
      </c>
      <c r="H34" s="253" t="s">
        <v>650</v>
      </c>
      <c r="I34" s="253" t="s">
        <v>399</v>
      </c>
      <c r="J34" s="253" t="s">
        <v>611</v>
      </c>
      <c r="K34" s="253" t="s">
        <v>650</v>
      </c>
      <c r="L34" s="253" t="s">
        <v>399</v>
      </c>
      <c r="M34" s="253" t="s">
        <v>611</v>
      </c>
      <c r="N34" s="253" t="s">
        <v>650</v>
      </c>
      <c r="O34" s="11"/>
      <c r="P34" s="11"/>
      <c r="Q34" s="11"/>
      <c r="R34" s="11"/>
      <c r="S34" s="11"/>
      <c r="T34" s="11"/>
      <c r="U34" s="11"/>
      <c r="V34" s="11"/>
    </row>
    <row r="35" spans="1:22" s="1" customFormat="1" ht="38.25" x14ac:dyDescent="0.25">
      <c r="A35" s="299"/>
      <c r="B35" s="307"/>
      <c r="C35" s="49" t="s">
        <v>44</v>
      </c>
      <c r="D35" s="49" t="s">
        <v>45</v>
      </c>
      <c r="E35" s="49" t="s">
        <v>46</v>
      </c>
      <c r="F35" s="49" t="s">
        <v>44</v>
      </c>
      <c r="G35" s="49" t="s">
        <v>45</v>
      </c>
      <c r="H35" s="49" t="s">
        <v>46</v>
      </c>
      <c r="I35" s="49" t="s">
        <v>44</v>
      </c>
      <c r="J35" s="49" t="s">
        <v>45</v>
      </c>
      <c r="K35" s="49" t="s">
        <v>46</v>
      </c>
      <c r="L35" s="49" t="s">
        <v>44</v>
      </c>
      <c r="M35" s="49" t="s">
        <v>45</v>
      </c>
      <c r="N35" s="49" t="s">
        <v>46</v>
      </c>
      <c r="O35" s="11"/>
      <c r="P35" s="11"/>
      <c r="Q35" s="11"/>
      <c r="R35" s="11"/>
      <c r="S35" s="11"/>
      <c r="T35" s="11"/>
      <c r="U35" s="11"/>
      <c r="V35" s="11"/>
    </row>
    <row r="36" spans="1:22" s="1" customFormat="1" ht="15.75" x14ac:dyDescent="0.25">
      <c r="A36" s="51" t="s">
        <v>190</v>
      </c>
      <c r="B36" s="48" t="s">
        <v>73</v>
      </c>
      <c r="C36" s="48" t="s">
        <v>47</v>
      </c>
      <c r="D36" s="48" t="s">
        <v>48</v>
      </c>
      <c r="E36" s="48" t="s">
        <v>49</v>
      </c>
      <c r="F36" s="48" t="s">
        <v>52</v>
      </c>
      <c r="G36" s="48" t="s">
        <v>53</v>
      </c>
      <c r="H36" s="48" t="s">
        <v>91</v>
      </c>
      <c r="I36" s="48" t="s">
        <v>92</v>
      </c>
      <c r="J36" s="48" t="s">
        <v>93</v>
      </c>
      <c r="K36" s="48" t="s">
        <v>94</v>
      </c>
      <c r="L36" s="48" t="s">
        <v>115</v>
      </c>
      <c r="M36" s="48" t="s">
        <v>126</v>
      </c>
      <c r="N36" s="48" t="s">
        <v>127</v>
      </c>
      <c r="O36" s="11"/>
      <c r="P36" s="11"/>
      <c r="Q36" s="11"/>
      <c r="R36" s="11"/>
      <c r="S36" s="11"/>
      <c r="T36" s="11"/>
      <c r="U36" s="11"/>
      <c r="V36" s="11"/>
    </row>
    <row r="37" spans="1:22" s="1" customFormat="1" ht="26.25" customHeight="1" x14ac:dyDescent="0.25">
      <c r="A37" s="4" t="s">
        <v>189</v>
      </c>
      <c r="B37" s="48" t="s">
        <v>98</v>
      </c>
      <c r="C37" s="111">
        <v>1</v>
      </c>
      <c r="D37" s="111">
        <v>1</v>
      </c>
      <c r="E37" s="111">
        <v>1</v>
      </c>
      <c r="F37" s="111">
        <v>12</v>
      </c>
      <c r="G37" s="111">
        <v>12</v>
      </c>
      <c r="H37" s="111">
        <v>12</v>
      </c>
      <c r="I37" s="111">
        <v>4166.67</v>
      </c>
      <c r="J37" s="253">
        <v>4166.67</v>
      </c>
      <c r="K37" s="253">
        <v>4166.67</v>
      </c>
      <c r="L37" s="111">
        <f>C37*F37*I37-0.04</f>
        <v>50000</v>
      </c>
      <c r="M37" s="253">
        <f t="shared" ref="M37:N37" si="11">D37*G37*J37-0.04</f>
        <v>50000</v>
      </c>
      <c r="N37" s="253">
        <f t="shared" si="11"/>
        <v>50000</v>
      </c>
      <c r="O37" s="11"/>
      <c r="P37" s="11"/>
      <c r="Q37" s="11"/>
      <c r="R37" s="11"/>
      <c r="S37" s="11"/>
      <c r="T37" s="11"/>
      <c r="U37" s="11"/>
      <c r="V37" s="11"/>
    </row>
    <row r="38" spans="1:22" s="1" customFormat="1" ht="15.75" x14ac:dyDescent="0.25">
      <c r="A38" s="51" t="s">
        <v>427</v>
      </c>
      <c r="B38" s="48" t="s">
        <v>1</v>
      </c>
      <c r="C38" s="111" t="s">
        <v>1</v>
      </c>
      <c r="D38" s="111" t="s">
        <v>1</v>
      </c>
      <c r="E38" s="111" t="s">
        <v>1</v>
      </c>
      <c r="F38" s="111" t="s">
        <v>1</v>
      </c>
      <c r="G38" s="111" t="s">
        <v>1</v>
      </c>
      <c r="H38" s="111" t="s">
        <v>1</v>
      </c>
      <c r="I38" s="111" t="s">
        <v>1</v>
      </c>
      <c r="J38" s="111" t="s">
        <v>1</v>
      </c>
      <c r="K38" s="111" t="s">
        <v>1</v>
      </c>
      <c r="L38" s="94">
        <f>SUM(L37:L37)</f>
        <v>50000</v>
      </c>
      <c r="M38" s="94">
        <f>SUM(M37:M37)</f>
        <v>50000</v>
      </c>
      <c r="N38" s="94">
        <f>SUM(N37:N37)</f>
        <v>50000</v>
      </c>
      <c r="O38" s="11"/>
      <c r="P38" s="11"/>
      <c r="Q38" s="11"/>
      <c r="R38" s="11"/>
      <c r="S38" s="11"/>
      <c r="T38" s="11"/>
      <c r="U38" s="11"/>
      <c r="V38" s="11"/>
    </row>
    <row r="39" spans="1:22" s="1" customFormat="1" ht="15.75" x14ac:dyDescent="0.25">
      <c r="A39" s="23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192"/>
      <c r="M39" s="192"/>
      <c r="N39" s="192"/>
      <c r="O39" s="11"/>
      <c r="P39" s="11"/>
      <c r="Q39" s="11"/>
      <c r="R39" s="11"/>
      <c r="S39" s="11"/>
      <c r="T39" s="11"/>
      <c r="U39" s="11"/>
      <c r="V39" s="11"/>
    </row>
    <row r="40" spans="1:22" s="1" customFormat="1" ht="15.75" x14ac:dyDescent="0.25">
      <c r="A40" s="8" t="s">
        <v>529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11"/>
      <c r="P40" s="11"/>
      <c r="Q40" s="11"/>
      <c r="R40" s="11"/>
      <c r="S40" s="11"/>
      <c r="T40" s="11"/>
      <c r="U40" s="11"/>
      <c r="V40" s="11"/>
    </row>
    <row r="41" spans="1:22" s="1" customFormat="1" ht="15.75" hidden="1" x14ac:dyDescent="0.25"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11"/>
      <c r="P41" s="11"/>
      <c r="Q41" s="11"/>
      <c r="R41" s="11"/>
      <c r="S41" s="11"/>
      <c r="T41" s="11"/>
      <c r="U41" s="11"/>
      <c r="V41" s="11"/>
    </row>
    <row r="42" spans="1:22" s="1" customFormat="1" ht="15.75" hidden="1" x14ac:dyDescent="0.25">
      <c r="A42" s="269" t="s">
        <v>451</v>
      </c>
      <c r="B42" s="307" t="s">
        <v>144</v>
      </c>
      <c r="C42" s="306" t="s">
        <v>65</v>
      </c>
      <c r="D42" s="306"/>
      <c r="E42" s="306"/>
      <c r="F42" s="306" t="s">
        <v>145</v>
      </c>
      <c r="G42" s="306"/>
      <c r="H42" s="306"/>
      <c r="I42" s="306" t="s">
        <v>43</v>
      </c>
      <c r="J42" s="306"/>
      <c r="K42" s="306"/>
      <c r="L42" s="85"/>
      <c r="M42" s="85"/>
      <c r="N42" s="85"/>
      <c r="O42" s="11"/>
      <c r="P42" s="11"/>
      <c r="Q42" s="11"/>
      <c r="R42" s="11"/>
      <c r="S42" s="11"/>
      <c r="T42" s="11"/>
      <c r="U42" s="11"/>
      <c r="V42" s="11"/>
    </row>
    <row r="43" spans="1:22" s="1" customFormat="1" ht="15.75" hidden="1" x14ac:dyDescent="0.25">
      <c r="A43" s="269"/>
      <c r="B43" s="307"/>
      <c r="C43" s="221" t="s">
        <v>9</v>
      </c>
      <c r="D43" s="221" t="s">
        <v>399</v>
      </c>
      <c r="E43" s="221" t="s">
        <v>611</v>
      </c>
      <c r="F43" s="221" t="s">
        <v>9</v>
      </c>
      <c r="G43" s="221" t="s">
        <v>399</v>
      </c>
      <c r="H43" s="221" t="s">
        <v>611</v>
      </c>
      <c r="I43" s="221" t="s">
        <v>9</v>
      </c>
      <c r="J43" s="221" t="s">
        <v>399</v>
      </c>
      <c r="K43" s="221" t="s">
        <v>611</v>
      </c>
      <c r="L43" s="85"/>
      <c r="M43" s="85"/>
      <c r="N43" s="85"/>
      <c r="O43" s="11"/>
      <c r="P43" s="11"/>
      <c r="Q43" s="11"/>
      <c r="R43" s="11"/>
      <c r="S43" s="11"/>
      <c r="T43" s="11"/>
      <c r="U43" s="11"/>
      <c r="V43" s="11"/>
    </row>
    <row r="44" spans="1:22" s="1" customFormat="1" ht="38.25" hidden="1" x14ac:dyDescent="0.25">
      <c r="A44" s="269"/>
      <c r="B44" s="307"/>
      <c r="C44" s="49" t="s">
        <v>44</v>
      </c>
      <c r="D44" s="50" t="s">
        <v>45</v>
      </c>
      <c r="E44" s="50" t="s">
        <v>46</v>
      </c>
      <c r="F44" s="49" t="s">
        <v>44</v>
      </c>
      <c r="G44" s="50" t="s">
        <v>45</v>
      </c>
      <c r="H44" s="50" t="s">
        <v>46</v>
      </c>
      <c r="I44" s="49" t="s">
        <v>44</v>
      </c>
      <c r="J44" s="50" t="s">
        <v>45</v>
      </c>
      <c r="K44" s="50" t="s">
        <v>46</v>
      </c>
      <c r="L44" s="85"/>
      <c r="M44" s="85"/>
      <c r="N44" s="85"/>
      <c r="O44" s="11"/>
      <c r="P44" s="11"/>
      <c r="Q44" s="11"/>
      <c r="R44" s="11"/>
      <c r="S44" s="11"/>
      <c r="T44" s="11"/>
      <c r="U44" s="11"/>
      <c r="V44" s="11"/>
    </row>
    <row r="45" spans="1:22" s="1" customFormat="1" ht="15.75" hidden="1" x14ac:dyDescent="0.25">
      <c r="A45" s="51" t="s">
        <v>190</v>
      </c>
      <c r="B45" s="48" t="s">
        <v>73</v>
      </c>
      <c r="C45" s="48" t="s">
        <v>47</v>
      </c>
      <c r="D45" s="48" t="s">
        <v>48</v>
      </c>
      <c r="E45" s="48" t="s">
        <v>49</v>
      </c>
      <c r="F45" s="48" t="s">
        <v>52</v>
      </c>
      <c r="G45" s="48" t="s">
        <v>53</v>
      </c>
      <c r="H45" s="48" t="s">
        <v>91</v>
      </c>
      <c r="I45" s="48" t="s">
        <v>92</v>
      </c>
      <c r="J45" s="48" t="s">
        <v>93</v>
      </c>
      <c r="K45" s="48" t="s">
        <v>94</v>
      </c>
      <c r="L45" s="85"/>
      <c r="M45" s="85"/>
      <c r="N45" s="85"/>
      <c r="O45" s="11"/>
      <c r="P45" s="11"/>
      <c r="Q45" s="11"/>
      <c r="R45" s="11"/>
      <c r="S45" s="11"/>
      <c r="T45" s="11"/>
      <c r="U45" s="11"/>
      <c r="V45" s="11"/>
    </row>
    <row r="46" spans="1:22" s="1" customFormat="1" ht="41.25" hidden="1" customHeight="1" x14ac:dyDescent="0.25">
      <c r="A46" s="224" t="s">
        <v>634</v>
      </c>
      <c r="B46" s="223" t="s">
        <v>98</v>
      </c>
      <c r="C46" s="225">
        <v>1</v>
      </c>
      <c r="D46" s="225">
        <v>1</v>
      </c>
      <c r="E46" s="225">
        <v>1</v>
      </c>
      <c r="F46" s="223"/>
      <c r="G46" s="223"/>
      <c r="H46" s="223"/>
      <c r="I46" s="223"/>
      <c r="J46" s="223"/>
      <c r="K46" s="223"/>
      <c r="L46" s="85"/>
      <c r="M46" s="85"/>
      <c r="N46" s="85"/>
      <c r="O46" s="11"/>
      <c r="P46" s="11"/>
      <c r="Q46" s="11"/>
      <c r="R46" s="11"/>
      <c r="S46" s="11"/>
      <c r="T46" s="11"/>
      <c r="U46" s="11"/>
      <c r="V46" s="11"/>
    </row>
    <row r="47" spans="1:22" s="1" customFormat="1" ht="15.75" hidden="1" x14ac:dyDescent="0.25">
      <c r="A47" s="51" t="s">
        <v>427</v>
      </c>
      <c r="B47" s="48" t="s">
        <v>95</v>
      </c>
      <c r="C47" s="48" t="s">
        <v>1</v>
      </c>
      <c r="D47" s="48" t="s">
        <v>1</v>
      </c>
      <c r="E47" s="48" t="s">
        <v>1</v>
      </c>
      <c r="F47" s="48" t="s">
        <v>1</v>
      </c>
      <c r="G47" s="48" t="s">
        <v>1</v>
      </c>
      <c r="H47" s="48" t="s">
        <v>1</v>
      </c>
      <c r="I47" s="30">
        <f>SUM(I46:I46)</f>
        <v>0</v>
      </c>
      <c r="J47" s="30">
        <f>SUM(J46:J46)</f>
        <v>0</v>
      </c>
      <c r="K47" s="30">
        <f>SUM(K46:K46)</f>
        <v>0</v>
      </c>
      <c r="L47" s="85"/>
      <c r="M47" s="85"/>
      <c r="N47" s="85"/>
      <c r="O47" s="11"/>
      <c r="P47" s="11"/>
      <c r="Q47" s="11"/>
      <c r="R47" s="11"/>
      <c r="S47" s="11"/>
      <c r="T47" s="11"/>
      <c r="U47" s="11"/>
      <c r="V47" s="11"/>
    </row>
    <row r="48" spans="1:22" s="1" customFormat="1" ht="13.5" customHeight="1" x14ac:dyDescent="0.25"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11"/>
      <c r="P48" s="11"/>
      <c r="Q48" s="11"/>
      <c r="R48" s="11"/>
      <c r="S48" s="11"/>
      <c r="T48" s="11"/>
      <c r="U48" s="11"/>
      <c r="V48" s="11"/>
    </row>
    <row r="49" spans="1:22" s="1" customFormat="1" ht="15.75" x14ac:dyDescent="0.25">
      <c r="A49" s="8" t="s">
        <v>482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11"/>
      <c r="P49" s="11"/>
      <c r="Q49" s="11"/>
      <c r="R49" s="11"/>
      <c r="S49" s="11"/>
      <c r="T49" s="11"/>
      <c r="U49" s="11"/>
      <c r="V49" s="11"/>
    </row>
    <row r="50" spans="1:22" s="1" customFormat="1" ht="12" customHeight="1" x14ac:dyDescent="0.25"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11"/>
      <c r="P50" s="11"/>
      <c r="Q50" s="11"/>
      <c r="R50" s="11"/>
      <c r="S50" s="11"/>
      <c r="T50" s="11"/>
      <c r="U50" s="11"/>
      <c r="V50" s="11"/>
    </row>
    <row r="51" spans="1:22" s="1" customFormat="1" ht="15.75" x14ac:dyDescent="0.25">
      <c r="A51" s="299" t="s">
        <v>451</v>
      </c>
      <c r="B51" s="307" t="s">
        <v>72</v>
      </c>
      <c r="C51" s="308" t="s">
        <v>66</v>
      </c>
      <c r="D51" s="308"/>
      <c r="E51" s="308"/>
      <c r="F51" s="305" t="s">
        <v>146</v>
      </c>
      <c r="G51" s="305"/>
      <c r="H51" s="305"/>
      <c r="I51" s="305" t="s">
        <v>43</v>
      </c>
      <c r="J51" s="305"/>
      <c r="K51" s="305"/>
      <c r="L51" s="345"/>
      <c r="M51" s="85"/>
      <c r="N51" s="85"/>
      <c r="O51" s="11"/>
      <c r="P51" s="11"/>
      <c r="Q51" s="11"/>
      <c r="R51" s="11"/>
      <c r="S51" s="11"/>
      <c r="T51" s="11"/>
      <c r="U51" s="11"/>
      <c r="V51" s="11"/>
    </row>
    <row r="52" spans="1:22" s="1" customFormat="1" ht="15.75" x14ac:dyDescent="0.25">
      <c r="A52" s="299"/>
      <c r="B52" s="307"/>
      <c r="C52" s="253" t="s">
        <v>399</v>
      </c>
      <c r="D52" s="253" t="s">
        <v>611</v>
      </c>
      <c r="E52" s="253" t="s">
        <v>650</v>
      </c>
      <c r="F52" s="253" t="s">
        <v>399</v>
      </c>
      <c r="G52" s="253" t="s">
        <v>611</v>
      </c>
      <c r="H52" s="253" t="s">
        <v>650</v>
      </c>
      <c r="I52" s="253" t="s">
        <v>399</v>
      </c>
      <c r="J52" s="253" t="s">
        <v>611</v>
      </c>
      <c r="K52" s="253" t="s">
        <v>650</v>
      </c>
      <c r="L52" s="345"/>
      <c r="M52" s="85"/>
      <c r="N52" s="85"/>
      <c r="O52" s="11"/>
      <c r="P52" s="11"/>
      <c r="Q52" s="11"/>
      <c r="R52" s="11"/>
      <c r="S52" s="11"/>
      <c r="T52" s="11"/>
      <c r="U52" s="11"/>
      <c r="V52" s="11"/>
    </row>
    <row r="53" spans="1:22" s="1" customFormat="1" ht="42" customHeight="1" x14ac:dyDescent="0.25">
      <c r="A53" s="299"/>
      <c r="B53" s="307"/>
      <c r="C53" s="49" t="s">
        <v>44</v>
      </c>
      <c r="D53" s="49" t="s">
        <v>45</v>
      </c>
      <c r="E53" s="49" t="s">
        <v>46</v>
      </c>
      <c r="F53" s="49" t="s">
        <v>44</v>
      </c>
      <c r="G53" s="49" t="s">
        <v>45</v>
      </c>
      <c r="H53" s="49" t="s">
        <v>46</v>
      </c>
      <c r="I53" s="49" t="s">
        <v>44</v>
      </c>
      <c r="J53" s="49" t="s">
        <v>45</v>
      </c>
      <c r="K53" s="49" t="s">
        <v>46</v>
      </c>
      <c r="L53" s="345"/>
      <c r="M53" s="85"/>
      <c r="N53" s="85"/>
      <c r="O53" s="11"/>
      <c r="P53" s="11"/>
      <c r="Q53" s="11"/>
      <c r="R53" s="11"/>
      <c r="S53" s="11"/>
      <c r="T53" s="11"/>
      <c r="U53" s="11"/>
      <c r="V53" s="11"/>
    </row>
    <row r="54" spans="1:22" s="1" customFormat="1" ht="15.75" x14ac:dyDescent="0.25">
      <c r="A54" s="51" t="s">
        <v>190</v>
      </c>
      <c r="B54" s="48" t="s">
        <v>73</v>
      </c>
      <c r="C54" s="48" t="s">
        <v>47</v>
      </c>
      <c r="D54" s="48" t="s">
        <v>48</v>
      </c>
      <c r="E54" s="48" t="s">
        <v>49</v>
      </c>
      <c r="F54" s="48" t="s">
        <v>52</v>
      </c>
      <c r="G54" s="48" t="s">
        <v>53</v>
      </c>
      <c r="H54" s="48" t="s">
        <v>91</v>
      </c>
      <c r="I54" s="48" t="s">
        <v>92</v>
      </c>
      <c r="J54" s="48" t="s">
        <v>93</v>
      </c>
      <c r="K54" s="48" t="s">
        <v>94</v>
      </c>
      <c r="L54" s="203"/>
      <c r="M54" s="85"/>
      <c r="N54" s="85"/>
      <c r="O54" s="11"/>
      <c r="P54" s="11"/>
      <c r="Q54" s="11"/>
      <c r="R54" s="11"/>
      <c r="S54" s="11"/>
      <c r="T54" s="11"/>
      <c r="U54" s="11"/>
      <c r="V54" s="11"/>
    </row>
    <row r="55" spans="1:22" s="1" customFormat="1" ht="15.75" x14ac:dyDescent="0.25">
      <c r="A55" s="4" t="s">
        <v>188</v>
      </c>
      <c r="B55" s="96" t="s">
        <v>98</v>
      </c>
      <c r="C55" s="208">
        <v>3.6859999999999999</v>
      </c>
      <c r="D55" s="114">
        <v>3.6859999999999999</v>
      </c>
      <c r="E55" s="114">
        <v>3.6859999999999999</v>
      </c>
      <c r="F55" s="221">
        <v>3717.84</v>
      </c>
      <c r="G55" s="253">
        <v>3717.84</v>
      </c>
      <c r="H55" s="253">
        <v>3717.84</v>
      </c>
      <c r="I55" s="134">
        <f>C55*F55+0.01</f>
        <v>13703.96824</v>
      </c>
      <c r="J55" s="134">
        <f t="shared" ref="J55:K55" si="12">D55*G55+0.01</f>
        <v>13703.96824</v>
      </c>
      <c r="K55" s="134">
        <f t="shared" si="12"/>
        <v>13703.96824</v>
      </c>
      <c r="L55" s="203"/>
      <c r="M55" s="85"/>
      <c r="N55" s="85"/>
      <c r="O55" s="11"/>
      <c r="P55" s="11"/>
      <c r="Q55" s="11"/>
      <c r="R55" s="11"/>
      <c r="S55" s="11"/>
      <c r="T55" s="11"/>
      <c r="U55" s="11"/>
      <c r="V55" s="11"/>
    </row>
    <row r="56" spans="1:22" s="1" customFormat="1" ht="15.75" x14ac:dyDescent="0.25">
      <c r="A56" s="4" t="s">
        <v>488</v>
      </c>
      <c r="B56" s="96" t="s">
        <v>99</v>
      </c>
      <c r="C56" s="208">
        <v>57.773000000000003</v>
      </c>
      <c r="D56" s="114">
        <v>57.773000000000003</v>
      </c>
      <c r="E56" s="114">
        <v>57.773000000000003</v>
      </c>
      <c r="F56" s="221">
        <v>69.56</v>
      </c>
      <c r="G56" s="253">
        <v>69.56</v>
      </c>
      <c r="H56" s="253">
        <v>69.56</v>
      </c>
      <c r="I56" s="134">
        <f>C56*F56-0.05</f>
        <v>4018.6398800000002</v>
      </c>
      <c r="J56" s="134">
        <f t="shared" ref="J56:K56" si="13">D56*G56-0.05</f>
        <v>4018.6398800000002</v>
      </c>
      <c r="K56" s="134">
        <f t="shared" si="13"/>
        <v>4018.6398800000002</v>
      </c>
      <c r="L56" s="203"/>
      <c r="M56" s="85"/>
      <c r="N56" s="85"/>
      <c r="O56" s="11"/>
      <c r="P56" s="11"/>
      <c r="Q56" s="11"/>
      <c r="R56" s="11"/>
      <c r="S56" s="11"/>
      <c r="T56" s="11"/>
      <c r="U56" s="11"/>
      <c r="V56" s="11"/>
    </row>
    <row r="57" spans="1:22" s="1" customFormat="1" ht="15.75" customHeight="1" x14ac:dyDescent="0.25">
      <c r="A57" s="4" t="s">
        <v>186</v>
      </c>
      <c r="B57" s="96" t="s">
        <v>152</v>
      </c>
      <c r="C57" s="208">
        <v>118.045</v>
      </c>
      <c r="D57" s="114">
        <v>118.045</v>
      </c>
      <c r="E57" s="114">
        <v>118.045</v>
      </c>
      <c r="F57" s="111">
        <v>36.65</v>
      </c>
      <c r="G57" s="253">
        <v>36.65</v>
      </c>
      <c r="H57" s="253">
        <v>36.65</v>
      </c>
      <c r="I57" s="134">
        <f>C57*F57-0.44</f>
        <v>4325.9092500000006</v>
      </c>
      <c r="J57" s="134">
        <f t="shared" ref="J57:K57" si="14">D57*G57-0.44</f>
        <v>4325.9092500000006</v>
      </c>
      <c r="K57" s="134">
        <f t="shared" si="14"/>
        <v>4325.9092500000006</v>
      </c>
      <c r="L57" s="204"/>
      <c r="M57" s="85"/>
      <c r="N57" s="85"/>
      <c r="O57" s="11"/>
      <c r="P57" s="11"/>
      <c r="Q57" s="11"/>
      <c r="R57" s="11"/>
      <c r="S57" s="11"/>
      <c r="T57" s="11"/>
      <c r="U57" s="11"/>
      <c r="V57" s="11"/>
    </row>
    <row r="58" spans="1:22" s="1" customFormat="1" ht="24.75" customHeight="1" x14ac:dyDescent="0.25">
      <c r="A58" s="4" t="s">
        <v>187</v>
      </c>
      <c r="B58" s="96" t="s">
        <v>154</v>
      </c>
      <c r="C58" s="208">
        <v>176</v>
      </c>
      <c r="D58" s="208">
        <v>176</v>
      </c>
      <c r="E58" s="208">
        <v>176</v>
      </c>
      <c r="F58" s="111">
        <v>42.6</v>
      </c>
      <c r="G58" s="253">
        <v>42.6</v>
      </c>
      <c r="H58" s="253">
        <v>42.6</v>
      </c>
      <c r="I58" s="134">
        <f>C58*F58+0.08</f>
        <v>7497.68</v>
      </c>
      <c r="J58" s="134">
        <f t="shared" ref="J58:K58" si="15">D58*G58+0.08</f>
        <v>7497.68</v>
      </c>
      <c r="K58" s="134">
        <f t="shared" si="15"/>
        <v>7497.68</v>
      </c>
      <c r="L58" s="204"/>
      <c r="M58" s="85"/>
      <c r="N58" s="85"/>
      <c r="O58" s="11"/>
      <c r="P58" s="11"/>
      <c r="Q58" s="11"/>
      <c r="R58" s="11"/>
      <c r="S58" s="11"/>
      <c r="T58" s="11"/>
      <c r="U58" s="11"/>
      <c r="V58" s="11"/>
    </row>
    <row r="59" spans="1:22" s="1" customFormat="1" ht="15" customHeight="1" x14ac:dyDescent="0.25">
      <c r="A59" s="4" t="s">
        <v>659</v>
      </c>
      <c r="B59" s="96" t="s">
        <v>155</v>
      </c>
      <c r="C59" s="208" t="s">
        <v>660</v>
      </c>
      <c r="D59" s="208" t="s">
        <v>660</v>
      </c>
      <c r="E59" s="208" t="s">
        <v>660</v>
      </c>
      <c r="F59" s="208" t="s">
        <v>660</v>
      </c>
      <c r="G59" s="208" t="s">
        <v>660</v>
      </c>
      <c r="H59" s="208" t="s">
        <v>660</v>
      </c>
      <c r="I59" s="134">
        <v>3928</v>
      </c>
      <c r="J59" s="134">
        <v>3928</v>
      </c>
      <c r="K59" s="134">
        <v>3928</v>
      </c>
      <c r="L59" s="204"/>
      <c r="M59" s="85"/>
      <c r="N59" s="85"/>
      <c r="O59" s="11"/>
      <c r="P59" s="11"/>
      <c r="Q59" s="11"/>
      <c r="R59" s="11"/>
      <c r="S59" s="11"/>
      <c r="T59" s="11"/>
      <c r="U59" s="11"/>
      <c r="V59" s="11"/>
    </row>
    <row r="60" spans="1:22" s="1" customFormat="1" ht="13.5" customHeight="1" x14ac:dyDescent="0.25">
      <c r="A60" s="4" t="s">
        <v>192</v>
      </c>
      <c r="B60" s="96" t="s">
        <v>156</v>
      </c>
      <c r="C60" s="208">
        <v>32.292000000000002</v>
      </c>
      <c r="D60" s="114">
        <v>32.292000000000002</v>
      </c>
      <c r="E60" s="114">
        <v>32.292000000000002</v>
      </c>
      <c r="F60" s="111">
        <v>1809.71</v>
      </c>
      <c r="G60" s="253">
        <v>1809.71</v>
      </c>
      <c r="H60" s="253">
        <v>1809.71</v>
      </c>
      <c r="I60" s="134">
        <f>C60*F60-0.07</f>
        <v>58439.085320000006</v>
      </c>
      <c r="J60" s="134">
        <f t="shared" ref="J60:K60" si="16">D60*G60-0.07</f>
        <v>58439.085320000006</v>
      </c>
      <c r="K60" s="134">
        <f t="shared" si="16"/>
        <v>58439.085320000006</v>
      </c>
      <c r="L60" s="204"/>
      <c r="M60" s="85"/>
      <c r="N60" s="85"/>
      <c r="O60" s="11"/>
      <c r="P60" s="11"/>
      <c r="Q60" s="11"/>
      <c r="R60" s="11"/>
      <c r="S60" s="11"/>
      <c r="T60" s="11"/>
      <c r="U60" s="11"/>
      <c r="V60" s="11"/>
    </row>
    <row r="61" spans="1:22" s="1" customFormat="1" ht="15.75" customHeight="1" x14ac:dyDescent="0.25">
      <c r="A61" s="66" t="s">
        <v>191</v>
      </c>
      <c r="B61" s="48" t="s">
        <v>1</v>
      </c>
      <c r="C61" s="111" t="s">
        <v>1</v>
      </c>
      <c r="D61" s="111" t="s">
        <v>1</v>
      </c>
      <c r="E61" s="111" t="s">
        <v>1</v>
      </c>
      <c r="F61" s="111" t="s">
        <v>1</v>
      </c>
      <c r="G61" s="111" t="s">
        <v>1</v>
      </c>
      <c r="H61" s="111" t="s">
        <v>1</v>
      </c>
      <c r="I61" s="94">
        <f>SUM(I55:I60)-0.01</f>
        <v>91913.272690000013</v>
      </c>
      <c r="J61" s="94">
        <f t="shared" ref="J61:K61" si="17">SUM(J55:J60)-0.01</f>
        <v>91913.272690000013</v>
      </c>
      <c r="K61" s="94">
        <f t="shared" si="17"/>
        <v>91913.272690000013</v>
      </c>
      <c r="L61" s="205"/>
      <c r="M61" s="85"/>
      <c r="N61" s="85"/>
      <c r="O61" s="11"/>
      <c r="P61" s="11"/>
      <c r="Q61" s="11"/>
      <c r="R61" s="11"/>
      <c r="S61" s="11"/>
      <c r="T61" s="11"/>
      <c r="U61" s="11"/>
      <c r="V61" s="11"/>
    </row>
    <row r="62" spans="1:22" s="1" customFormat="1" ht="15.75" x14ac:dyDescent="0.25">
      <c r="A62" s="29"/>
      <c r="B62" s="89"/>
      <c r="C62" s="89"/>
      <c r="D62" s="89"/>
      <c r="E62" s="89"/>
      <c r="F62" s="89"/>
      <c r="G62" s="89"/>
      <c r="H62" s="89"/>
      <c r="I62" s="90"/>
      <c r="J62" s="90"/>
      <c r="K62" s="90"/>
      <c r="L62" s="85"/>
      <c r="M62" s="85"/>
      <c r="N62" s="85"/>
      <c r="O62" s="11"/>
      <c r="P62" s="11"/>
      <c r="Q62" s="11"/>
      <c r="R62" s="11"/>
      <c r="S62" s="11"/>
      <c r="T62" s="11"/>
      <c r="U62" s="11"/>
      <c r="V62" s="11"/>
    </row>
    <row r="63" spans="1:22" s="1" customFormat="1" ht="15.75" x14ac:dyDescent="0.25">
      <c r="A63" s="8" t="s">
        <v>486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11"/>
      <c r="P63" s="11"/>
      <c r="Q63" s="11"/>
      <c r="R63" s="11"/>
      <c r="S63" s="11"/>
      <c r="T63" s="11"/>
      <c r="U63" s="11"/>
      <c r="V63" s="11"/>
    </row>
    <row r="64" spans="1:22" s="1" customFormat="1" ht="12.75" customHeight="1" x14ac:dyDescent="0.25"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11"/>
      <c r="P64" s="11"/>
      <c r="Q64" s="11"/>
      <c r="R64" s="11"/>
      <c r="S64" s="11"/>
      <c r="T64" s="11"/>
      <c r="U64" s="11"/>
      <c r="V64" s="11"/>
    </row>
    <row r="65" spans="1:22" s="1" customFormat="1" ht="15.75" x14ac:dyDescent="0.25">
      <c r="A65" s="299" t="s">
        <v>451</v>
      </c>
      <c r="B65" s="307" t="s">
        <v>72</v>
      </c>
      <c r="C65" s="308" t="s">
        <v>66</v>
      </c>
      <c r="D65" s="308"/>
      <c r="E65" s="308"/>
      <c r="F65" s="305" t="s">
        <v>146</v>
      </c>
      <c r="G65" s="305"/>
      <c r="H65" s="305"/>
      <c r="I65" s="305" t="s">
        <v>43</v>
      </c>
      <c r="J65" s="305"/>
      <c r="K65" s="305"/>
      <c r="L65" s="345"/>
      <c r="M65" s="85"/>
      <c r="N65" s="85"/>
      <c r="O65" s="11"/>
      <c r="P65" s="11"/>
      <c r="Q65" s="11"/>
      <c r="R65" s="11"/>
      <c r="S65" s="11"/>
      <c r="T65" s="11"/>
      <c r="U65" s="11"/>
      <c r="V65" s="11"/>
    </row>
    <row r="66" spans="1:22" s="1" customFormat="1" ht="15.75" x14ac:dyDescent="0.25">
      <c r="A66" s="299"/>
      <c r="B66" s="307"/>
      <c r="C66" s="253" t="s">
        <v>399</v>
      </c>
      <c r="D66" s="253" t="s">
        <v>611</v>
      </c>
      <c r="E66" s="253" t="s">
        <v>650</v>
      </c>
      <c r="F66" s="253" t="s">
        <v>399</v>
      </c>
      <c r="G66" s="253" t="s">
        <v>611</v>
      </c>
      <c r="H66" s="253" t="s">
        <v>650</v>
      </c>
      <c r="I66" s="253" t="s">
        <v>399</v>
      </c>
      <c r="J66" s="253" t="s">
        <v>611</v>
      </c>
      <c r="K66" s="253" t="s">
        <v>650</v>
      </c>
      <c r="L66" s="345"/>
      <c r="M66" s="85"/>
      <c r="N66" s="85"/>
      <c r="O66" s="11"/>
      <c r="P66" s="11"/>
      <c r="Q66" s="11"/>
      <c r="R66" s="11"/>
      <c r="S66" s="11"/>
      <c r="T66" s="11"/>
      <c r="U66" s="11"/>
      <c r="V66" s="11"/>
    </row>
    <row r="67" spans="1:22" s="1" customFormat="1" ht="38.25" x14ac:dyDescent="0.25">
      <c r="A67" s="299"/>
      <c r="B67" s="307"/>
      <c r="C67" s="49" t="s">
        <v>44</v>
      </c>
      <c r="D67" s="49" t="s">
        <v>45</v>
      </c>
      <c r="E67" s="49" t="s">
        <v>46</v>
      </c>
      <c r="F67" s="49" t="s">
        <v>44</v>
      </c>
      <c r="G67" s="49" t="s">
        <v>45</v>
      </c>
      <c r="H67" s="49" t="s">
        <v>46</v>
      </c>
      <c r="I67" s="49" t="s">
        <v>44</v>
      </c>
      <c r="J67" s="49" t="s">
        <v>45</v>
      </c>
      <c r="K67" s="49" t="s">
        <v>46</v>
      </c>
      <c r="L67" s="345"/>
      <c r="M67" s="85"/>
      <c r="N67" s="85"/>
      <c r="O67" s="11"/>
      <c r="P67" s="11"/>
      <c r="Q67" s="11"/>
      <c r="R67" s="11"/>
      <c r="S67" s="11"/>
      <c r="T67" s="11"/>
      <c r="U67" s="11"/>
      <c r="V67" s="11"/>
    </row>
    <row r="68" spans="1:22" s="1" customFormat="1" ht="15.75" x14ac:dyDescent="0.25">
      <c r="A68" s="51" t="s">
        <v>190</v>
      </c>
      <c r="B68" s="48" t="s">
        <v>73</v>
      </c>
      <c r="C68" s="48" t="s">
        <v>47</v>
      </c>
      <c r="D68" s="48" t="s">
        <v>48</v>
      </c>
      <c r="E68" s="48" t="s">
        <v>49</v>
      </c>
      <c r="F68" s="48" t="s">
        <v>52</v>
      </c>
      <c r="G68" s="48" t="s">
        <v>53</v>
      </c>
      <c r="H68" s="48" t="s">
        <v>91</v>
      </c>
      <c r="I68" s="48" t="s">
        <v>92</v>
      </c>
      <c r="J68" s="48" t="s">
        <v>93</v>
      </c>
      <c r="K68" s="48" t="s">
        <v>94</v>
      </c>
      <c r="L68" s="203"/>
      <c r="M68" s="85"/>
      <c r="N68" s="85"/>
      <c r="O68" s="11"/>
      <c r="P68" s="11"/>
      <c r="Q68" s="11"/>
      <c r="R68" s="11"/>
      <c r="S68" s="11"/>
      <c r="T68" s="11"/>
      <c r="U68" s="11"/>
      <c r="V68" s="11"/>
    </row>
    <row r="69" spans="1:22" s="1" customFormat="1" ht="15.75" x14ac:dyDescent="0.25">
      <c r="A69" s="4" t="s">
        <v>487</v>
      </c>
      <c r="B69" s="96" t="s">
        <v>98</v>
      </c>
      <c r="C69" s="208">
        <v>186.44200000000001</v>
      </c>
      <c r="D69" s="208">
        <v>186.44200000000001</v>
      </c>
      <c r="E69" s="208">
        <v>186.44200000000001</v>
      </c>
      <c r="F69" s="111">
        <v>3703.34</v>
      </c>
      <c r="G69" s="256">
        <v>3703.34</v>
      </c>
      <c r="H69" s="256">
        <v>3703.34</v>
      </c>
      <c r="I69" s="134">
        <f>C69*F69-0.33</f>
        <v>690457.78628000012</v>
      </c>
      <c r="J69" s="134">
        <f t="shared" ref="J69:K69" si="18">D69*G69-0.33</f>
        <v>690457.78628000012</v>
      </c>
      <c r="K69" s="134">
        <f t="shared" si="18"/>
        <v>690457.78628000012</v>
      </c>
      <c r="L69" s="204"/>
      <c r="M69" s="85"/>
      <c r="N69" s="85"/>
      <c r="O69" s="11"/>
      <c r="P69" s="11"/>
      <c r="Q69" s="11"/>
      <c r="R69" s="11"/>
      <c r="S69" s="11"/>
      <c r="T69" s="11"/>
      <c r="U69" s="11"/>
      <c r="V69" s="11"/>
    </row>
    <row r="70" spans="1:22" s="1" customFormat="1" ht="15.75" x14ac:dyDescent="0.25">
      <c r="A70" s="4" t="s">
        <v>583</v>
      </c>
      <c r="B70" s="96" t="s">
        <v>99</v>
      </c>
      <c r="C70" s="209">
        <v>18162</v>
      </c>
      <c r="D70" s="209">
        <v>18162</v>
      </c>
      <c r="E70" s="209">
        <v>18162</v>
      </c>
      <c r="F70" s="111">
        <v>9.1</v>
      </c>
      <c r="G70" s="256">
        <v>9.1</v>
      </c>
      <c r="H70" s="256">
        <v>9.1</v>
      </c>
      <c r="I70" s="134">
        <f>C70*F70+26.16</f>
        <v>165300.35999999999</v>
      </c>
      <c r="J70" s="134">
        <f t="shared" ref="J70:K70" si="19">D70*G70+26.16</f>
        <v>165300.35999999999</v>
      </c>
      <c r="K70" s="134">
        <f t="shared" si="19"/>
        <v>165300.35999999999</v>
      </c>
      <c r="L70" s="204"/>
      <c r="M70" s="85"/>
      <c r="N70" s="85"/>
      <c r="O70" s="11"/>
      <c r="P70" s="11"/>
      <c r="Q70" s="11"/>
      <c r="R70" s="11"/>
      <c r="S70" s="11"/>
      <c r="T70" s="11"/>
      <c r="U70" s="11"/>
      <c r="V70" s="11"/>
    </row>
    <row r="71" spans="1:22" s="1" customFormat="1" ht="15.75" x14ac:dyDescent="0.25">
      <c r="A71" s="66" t="s">
        <v>191</v>
      </c>
      <c r="B71" s="48" t="s">
        <v>1</v>
      </c>
      <c r="C71" s="111" t="s">
        <v>1</v>
      </c>
      <c r="D71" s="111" t="s">
        <v>1</v>
      </c>
      <c r="E71" s="111" t="s">
        <v>1</v>
      </c>
      <c r="F71" s="111" t="s">
        <v>1</v>
      </c>
      <c r="G71" s="111" t="s">
        <v>1</v>
      </c>
      <c r="H71" s="111" t="s">
        <v>1</v>
      </c>
      <c r="I71" s="30">
        <f>SUM(I69:I70)-0.42</f>
        <v>855757.72628000006</v>
      </c>
      <c r="J71" s="30">
        <f>SUM(J69:J70)-0.42</f>
        <v>855757.72628000006</v>
      </c>
      <c r="K71" s="30">
        <f>SUM(K69:K70)-0.42</f>
        <v>855757.72628000006</v>
      </c>
      <c r="L71" s="205"/>
      <c r="M71" s="85"/>
      <c r="N71" s="85"/>
      <c r="O71" s="11"/>
      <c r="P71" s="11"/>
      <c r="Q71" s="11"/>
      <c r="R71" s="11"/>
      <c r="S71" s="11"/>
      <c r="T71" s="11"/>
      <c r="U71" s="11"/>
      <c r="V71" s="11"/>
    </row>
    <row r="72" spans="1:22" s="1" customFormat="1" ht="15.75" x14ac:dyDescent="0.25">
      <c r="A72" s="29"/>
      <c r="B72" s="89"/>
      <c r="C72" s="89"/>
      <c r="D72" s="89"/>
      <c r="E72" s="89"/>
      <c r="F72" s="89"/>
      <c r="G72" s="89"/>
      <c r="H72" s="89"/>
      <c r="I72" s="90"/>
      <c r="J72" s="90"/>
      <c r="K72" s="90"/>
      <c r="L72" s="85"/>
      <c r="M72" s="85"/>
      <c r="N72" s="85"/>
      <c r="O72" s="11"/>
      <c r="P72" s="11"/>
      <c r="Q72" s="11"/>
      <c r="R72" s="11"/>
      <c r="S72" s="11"/>
      <c r="T72" s="11"/>
      <c r="U72" s="11"/>
      <c r="V72" s="11"/>
    </row>
    <row r="73" spans="1:22" s="1" customFormat="1" ht="15.75" x14ac:dyDescent="0.25">
      <c r="A73" s="8" t="s">
        <v>500</v>
      </c>
      <c r="B73" s="85"/>
      <c r="C73" s="85"/>
      <c r="D73" s="85"/>
      <c r="E73" s="85"/>
      <c r="F73" s="85"/>
      <c r="G73" s="85"/>
      <c r="H73" s="89"/>
      <c r="I73" s="90"/>
      <c r="J73" s="90"/>
      <c r="K73" s="90"/>
      <c r="L73" s="85"/>
      <c r="M73" s="85"/>
      <c r="N73" s="85"/>
      <c r="O73" s="11"/>
      <c r="P73" s="11"/>
      <c r="Q73" s="11"/>
      <c r="R73" s="11"/>
      <c r="S73" s="11"/>
      <c r="T73" s="11"/>
      <c r="U73" s="11"/>
      <c r="V73" s="11"/>
    </row>
    <row r="74" spans="1:22" s="1" customFormat="1" ht="15.75" hidden="1" x14ac:dyDescent="0.25">
      <c r="A74" s="24"/>
      <c r="B74" s="85"/>
      <c r="C74" s="85"/>
      <c r="D74" s="85"/>
      <c r="E74" s="85"/>
      <c r="F74" s="85"/>
      <c r="G74" s="85"/>
      <c r="H74" s="89"/>
      <c r="I74" s="90"/>
      <c r="J74" s="90"/>
      <c r="K74" s="90"/>
      <c r="L74" s="85"/>
      <c r="M74" s="85"/>
      <c r="N74" s="85"/>
      <c r="O74" s="11"/>
      <c r="P74" s="11"/>
      <c r="Q74" s="11"/>
      <c r="R74" s="11"/>
      <c r="S74" s="11"/>
      <c r="T74" s="11"/>
      <c r="U74" s="11"/>
      <c r="V74" s="11"/>
    </row>
    <row r="75" spans="1:22" s="1" customFormat="1" ht="27" hidden="1" customHeight="1" x14ac:dyDescent="0.25">
      <c r="A75" s="299" t="s">
        <v>451</v>
      </c>
      <c r="B75" s="307" t="s">
        <v>72</v>
      </c>
      <c r="C75" s="308" t="s">
        <v>67</v>
      </c>
      <c r="D75" s="308"/>
      <c r="E75" s="308"/>
      <c r="F75" s="307" t="s">
        <v>147</v>
      </c>
      <c r="G75" s="307"/>
      <c r="H75" s="307"/>
      <c r="I75" s="307"/>
      <c r="J75" s="307"/>
      <c r="K75" s="307"/>
      <c r="L75" s="305" t="s">
        <v>43</v>
      </c>
      <c r="M75" s="305"/>
      <c r="N75" s="305"/>
      <c r="O75" s="11"/>
      <c r="P75" s="11"/>
      <c r="Q75" s="11"/>
      <c r="R75" s="11"/>
      <c r="S75" s="11"/>
      <c r="T75" s="11"/>
      <c r="U75" s="11"/>
      <c r="V75" s="11"/>
    </row>
    <row r="76" spans="1:22" s="1" customFormat="1" ht="16.5" hidden="1" customHeight="1" x14ac:dyDescent="0.25">
      <c r="A76" s="299"/>
      <c r="B76" s="307"/>
      <c r="C76" s="200" t="s">
        <v>9</v>
      </c>
      <c r="D76" s="200" t="s">
        <v>399</v>
      </c>
      <c r="E76" s="200" t="s">
        <v>611</v>
      </c>
      <c r="F76" s="200" t="s">
        <v>9</v>
      </c>
      <c r="G76" s="200" t="s">
        <v>399</v>
      </c>
      <c r="H76" s="200" t="s">
        <v>611</v>
      </c>
      <c r="I76" s="200"/>
      <c r="J76" s="200"/>
      <c r="K76" s="200"/>
      <c r="L76" s="200" t="s">
        <v>9</v>
      </c>
      <c r="M76" s="200" t="s">
        <v>399</v>
      </c>
      <c r="N76" s="200" t="s">
        <v>611</v>
      </c>
      <c r="O76" s="11"/>
      <c r="P76" s="11"/>
      <c r="Q76" s="11"/>
      <c r="R76" s="11"/>
      <c r="S76" s="11"/>
      <c r="T76" s="11"/>
      <c r="U76" s="11"/>
      <c r="V76" s="11"/>
    </row>
    <row r="77" spans="1:22" s="1" customFormat="1" ht="38.25" hidden="1" x14ac:dyDescent="0.25">
      <c r="A77" s="299"/>
      <c r="B77" s="307"/>
      <c r="C77" s="50" t="s">
        <v>44</v>
      </c>
      <c r="D77" s="50" t="s">
        <v>45</v>
      </c>
      <c r="E77" s="50" t="s">
        <v>46</v>
      </c>
      <c r="F77" s="50" t="s">
        <v>44</v>
      </c>
      <c r="G77" s="50" t="s">
        <v>45</v>
      </c>
      <c r="H77" s="50" t="s">
        <v>46</v>
      </c>
      <c r="I77" s="50"/>
      <c r="J77" s="50"/>
      <c r="K77" s="50"/>
      <c r="L77" s="50" t="s">
        <v>44</v>
      </c>
      <c r="M77" s="50" t="s">
        <v>45</v>
      </c>
      <c r="N77" s="50" t="s">
        <v>46</v>
      </c>
      <c r="O77" s="11"/>
      <c r="P77" s="11"/>
      <c r="Q77" s="11"/>
      <c r="R77" s="11"/>
      <c r="S77" s="11"/>
      <c r="T77" s="11"/>
      <c r="U77" s="11"/>
      <c r="V77" s="11"/>
    </row>
    <row r="78" spans="1:22" s="1" customFormat="1" ht="15.75" hidden="1" x14ac:dyDescent="0.25">
      <c r="A78" s="51" t="s">
        <v>190</v>
      </c>
      <c r="B78" s="48" t="s">
        <v>73</v>
      </c>
      <c r="C78" s="48" t="s">
        <v>47</v>
      </c>
      <c r="D78" s="48" t="s">
        <v>48</v>
      </c>
      <c r="E78" s="48" t="s">
        <v>49</v>
      </c>
      <c r="F78" s="48" t="s">
        <v>52</v>
      </c>
      <c r="G78" s="48" t="s">
        <v>53</v>
      </c>
      <c r="H78" s="48" t="s">
        <v>91</v>
      </c>
      <c r="I78" s="48"/>
      <c r="J78" s="48"/>
      <c r="K78" s="48"/>
      <c r="L78" s="48" t="s">
        <v>115</v>
      </c>
      <c r="M78" s="48" t="s">
        <v>126</v>
      </c>
      <c r="N78" s="48" t="s">
        <v>127</v>
      </c>
      <c r="O78" s="11"/>
      <c r="P78" s="11"/>
      <c r="Q78" s="11"/>
      <c r="R78" s="11"/>
      <c r="S78" s="11"/>
      <c r="T78" s="11"/>
      <c r="U78" s="11"/>
      <c r="V78" s="11"/>
    </row>
    <row r="79" spans="1:22" s="1" customFormat="1" ht="32.25" hidden="1" customHeight="1" x14ac:dyDescent="0.25">
      <c r="A79" s="4"/>
      <c r="B79" s="48"/>
      <c r="C79" s="111"/>
      <c r="D79" s="111"/>
      <c r="E79" s="111"/>
      <c r="F79" s="111"/>
      <c r="G79" s="111"/>
      <c r="H79" s="111"/>
      <c r="I79" s="111"/>
      <c r="J79" s="111"/>
      <c r="K79" s="111"/>
      <c r="L79" s="52"/>
      <c r="M79" s="111"/>
      <c r="N79" s="111"/>
      <c r="O79" s="41"/>
      <c r="P79" s="11"/>
      <c r="Q79" s="11"/>
      <c r="R79" s="11"/>
      <c r="S79" s="11"/>
      <c r="T79" s="11"/>
      <c r="U79" s="11"/>
      <c r="V79" s="11"/>
    </row>
    <row r="80" spans="1:22" s="1" customFormat="1" ht="15.75" hidden="1" x14ac:dyDescent="0.25">
      <c r="A80" s="51" t="s">
        <v>427</v>
      </c>
      <c r="B80" s="48" t="s">
        <v>1</v>
      </c>
      <c r="C80" s="111" t="s">
        <v>1</v>
      </c>
      <c r="D80" s="111" t="s">
        <v>1</v>
      </c>
      <c r="E80" s="111" t="s">
        <v>1</v>
      </c>
      <c r="F80" s="111" t="s">
        <v>1</v>
      </c>
      <c r="G80" s="111" t="s">
        <v>1</v>
      </c>
      <c r="H80" s="111" t="s">
        <v>1</v>
      </c>
      <c r="I80" s="111"/>
      <c r="J80" s="111"/>
      <c r="K80" s="111"/>
      <c r="L80" s="94">
        <f>SUM(L79:L79)</f>
        <v>0</v>
      </c>
      <c r="M80" s="94">
        <f>SUM(M79:M79)</f>
        <v>0</v>
      </c>
      <c r="N80" s="94">
        <f>SUM(N79:N79)</f>
        <v>0</v>
      </c>
      <c r="O80" s="11"/>
      <c r="P80" s="11"/>
      <c r="Q80" s="11"/>
      <c r="R80" s="11"/>
      <c r="S80" s="11"/>
      <c r="T80" s="11"/>
      <c r="U80" s="11"/>
      <c r="V80" s="11"/>
    </row>
    <row r="81" spans="1:22" s="1" customFormat="1" ht="11.25" customHeight="1" x14ac:dyDescent="0.25"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11"/>
      <c r="P81" s="11"/>
      <c r="Q81" s="11"/>
      <c r="R81" s="11"/>
      <c r="S81" s="11"/>
      <c r="T81" s="11"/>
      <c r="U81" s="11"/>
      <c r="V81" s="11"/>
    </row>
    <row r="82" spans="1:22" s="1" customFormat="1" ht="15.75" x14ac:dyDescent="0.25">
      <c r="A82" s="8" t="s">
        <v>496</v>
      </c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11"/>
      <c r="P82" s="11"/>
      <c r="Q82" s="11"/>
      <c r="R82" s="11"/>
      <c r="S82" s="11"/>
      <c r="T82" s="11"/>
      <c r="U82" s="11"/>
      <c r="V82" s="11"/>
    </row>
    <row r="83" spans="1:22" s="1" customFormat="1" ht="9.75" customHeight="1" x14ac:dyDescent="0.25"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11"/>
      <c r="P83" s="11"/>
      <c r="Q83" s="11"/>
      <c r="R83" s="11"/>
      <c r="S83" s="11"/>
      <c r="T83" s="11"/>
      <c r="U83" s="11"/>
      <c r="V83" s="11"/>
    </row>
    <row r="84" spans="1:22" s="1" customFormat="1" ht="15.75" x14ac:dyDescent="0.25">
      <c r="A84" s="299" t="s">
        <v>451</v>
      </c>
      <c r="B84" s="307" t="s">
        <v>72</v>
      </c>
      <c r="C84" s="275" t="s">
        <v>68</v>
      </c>
      <c r="D84" s="275"/>
      <c r="E84" s="275"/>
      <c r="F84" s="275" t="s">
        <v>149</v>
      </c>
      <c r="G84" s="275"/>
      <c r="H84" s="275"/>
      <c r="I84" s="275" t="s">
        <v>43</v>
      </c>
      <c r="J84" s="275"/>
      <c r="K84" s="275"/>
      <c r="L84" s="345"/>
      <c r="M84" s="85"/>
      <c r="N84" s="85"/>
      <c r="O84" s="11"/>
      <c r="P84" s="11"/>
      <c r="Q84" s="11"/>
      <c r="R84" s="11"/>
      <c r="S84" s="11"/>
      <c r="T84" s="11"/>
      <c r="U84" s="11"/>
      <c r="V84" s="11"/>
    </row>
    <row r="85" spans="1:22" s="1" customFormat="1" ht="15.75" x14ac:dyDescent="0.25">
      <c r="A85" s="299"/>
      <c r="B85" s="307"/>
      <c r="C85" s="253" t="s">
        <v>399</v>
      </c>
      <c r="D85" s="253" t="s">
        <v>611</v>
      </c>
      <c r="E85" s="253" t="s">
        <v>650</v>
      </c>
      <c r="F85" s="253" t="s">
        <v>399</v>
      </c>
      <c r="G85" s="253" t="s">
        <v>611</v>
      </c>
      <c r="H85" s="253" t="s">
        <v>650</v>
      </c>
      <c r="I85" s="253" t="s">
        <v>399</v>
      </c>
      <c r="J85" s="253" t="s">
        <v>611</v>
      </c>
      <c r="K85" s="253" t="s">
        <v>650</v>
      </c>
      <c r="L85" s="345"/>
      <c r="M85" s="85"/>
      <c r="N85" s="85"/>
      <c r="O85" s="11"/>
      <c r="P85" s="11"/>
      <c r="Q85" s="11"/>
      <c r="R85" s="11"/>
      <c r="S85" s="11"/>
      <c r="T85" s="11"/>
      <c r="U85" s="11"/>
      <c r="V85" s="11"/>
    </row>
    <row r="86" spans="1:22" s="1" customFormat="1" ht="38.25" x14ac:dyDescent="0.25">
      <c r="A86" s="299"/>
      <c r="B86" s="307"/>
      <c r="C86" s="49" t="s">
        <v>44</v>
      </c>
      <c r="D86" s="49" t="s">
        <v>45</v>
      </c>
      <c r="E86" s="49" t="s">
        <v>46</v>
      </c>
      <c r="F86" s="49" t="s">
        <v>44</v>
      </c>
      <c r="G86" s="49" t="s">
        <v>45</v>
      </c>
      <c r="H86" s="49" t="s">
        <v>46</v>
      </c>
      <c r="I86" s="49" t="s">
        <v>44</v>
      </c>
      <c r="J86" s="49" t="s">
        <v>45</v>
      </c>
      <c r="K86" s="49" t="s">
        <v>46</v>
      </c>
      <c r="L86" s="345"/>
      <c r="M86" s="85"/>
      <c r="N86" s="85"/>
      <c r="O86" s="11"/>
      <c r="P86" s="11"/>
      <c r="Q86" s="11"/>
      <c r="R86" s="11"/>
      <c r="S86" s="11"/>
      <c r="T86" s="11"/>
      <c r="U86" s="11"/>
      <c r="V86" s="11"/>
    </row>
    <row r="87" spans="1:22" s="1" customFormat="1" ht="15.75" x14ac:dyDescent="0.25">
      <c r="A87" s="51" t="s">
        <v>190</v>
      </c>
      <c r="B87" s="48" t="s">
        <v>73</v>
      </c>
      <c r="C87" s="48" t="s">
        <v>47</v>
      </c>
      <c r="D87" s="48" t="s">
        <v>48</v>
      </c>
      <c r="E87" s="48" t="s">
        <v>49</v>
      </c>
      <c r="F87" s="48" t="s">
        <v>52</v>
      </c>
      <c r="G87" s="48" t="s">
        <v>53</v>
      </c>
      <c r="H87" s="48" t="s">
        <v>91</v>
      </c>
      <c r="I87" s="48" t="s">
        <v>92</v>
      </c>
      <c r="J87" s="48" t="s">
        <v>93</v>
      </c>
      <c r="K87" s="48" t="s">
        <v>94</v>
      </c>
      <c r="L87" s="203"/>
      <c r="M87" s="85"/>
      <c r="N87" s="85"/>
      <c r="O87" s="11"/>
      <c r="P87" s="11"/>
      <c r="Q87" s="11"/>
      <c r="R87" s="11"/>
      <c r="S87" s="11"/>
      <c r="T87" s="11"/>
      <c r="U87" s="11"/>
      <c r="V87" s="11"/>
    </row>
    <row r="88" spans="1:22" s="1" customFormat="1" ht="15.75" x14ac:dyDescent="0.25">
      <c r="A88" s="4" t="s">
        <v>200</v>
      </c>
      <c r="B88" s="48" t="s">
        <v>98</v>
      </c>
      <c r="C88" s="109">
        <v>1</v>
      </c>
      <c r="D88" s="109">
        <v>1</v>
      </c>
      <c r="E88" s="109">
        <v>1</v>
      </c>
      <c r="F88" s="109">
        <v>1</v>
      </c>
      <c r="G88" s="109">
        <v>1</v>
      </c>
      <c r="H88" s="109">
        <v>1</v>
      </c>
      <c r="I88" s="134">
        <v>204312</v>
      </c>
      <c r="J88" s="134">
        <v>204312</v>
      </c>
      <c r="K88" s="134">
        <v>204312</v>
      </c>
      <c r="L88" s="204"/>
      <c r="M88" s="85"/>
      <c r="N88" s="85"/>
      <c r="O88" s="11"/>
      <c r="P88" s="11"/>
      <c r="Q88" s="11"/>
      <c r="R88" s="11"/>
      <c r="S88" s="11"/>
      <c r="T88" s="11"/>
      <c r="U88" s="11"/>
      <c r="V88" s="11"/>
    </row>
    <row r="89" spans="1:22" s="1" customFormat="1" ht="15" customHeight="1" x14ac:dyDescent="0.25">
      <c r="A89" s="4" t="s">
        <v>490</v>
      </c>
      <c r="B89" s="48" t="s">
        <v>99</v>
      </c>
      <c r="C89" s="109">
        <v>1</v>
      </c>
      <c r="D89" s="109">
        <v>1</v>
      </c>
      <c r="E89" s="109">
        <v>1</v>
      </c>
      <c r="F89" s="109">
        <v>1</v>
      </c>
      <c r="G89" s="109">
        <v>1</v>
      </c>
      <c r="H89" s="109">
        <v>1</v>
      </c>
      <c r="I89" s="134">
        <v>450800</v>
      </c>
      <c r="J89" s="134">
        <v>450800</v>
      </c>
      <c r="K89" s="134">
        <v>450800</v>
      </c>
      <c r="L89" s="204"/>
      <c r="M89" s="85"/>
      <c r="N89" s="85"/>
      <c r="O89" s="11"/>
      <c r="P89" s="11"/>
      <c r="Q89" s="11"/>
      <c r="R89" s="11"/>
      <c r="S89" s="11"/>
      <c r="T89" s="11"/>
      <c r="U89" s="11"/>
      <c r="V89" s="11"/>
    </row>
    <row r="90" spans="1:22" s="1" customFormat="1" ht="52.5" customHeight="1" x14ac:dyDescent="0.25">
      <c r="A90" s="4" t="s">
        <v>491</v>
      </c>
      <c r="B90" s="211" t="s">
        <v>152</v>
      </c>
      <c r="C90" s="109">
        <v>1</v>
      </c>
      <c r="D90" s="109">
        <v>1</v>
      </c>
      <c r="E90" s="109">
        <v>1</v>
      </c>
      <c r="F90" s="109">
        <v>1</v>
      </c>
      <c r="G90" s="109">
        <v>1</v>
      </c>
      <c r="H90" s="109">
        <v>1</v>
      </c>
      <c r="I90" s="134">
        <v>168840</v>
      </c>
      <c r="J90" s="134">
        <v>168840</v>
      </c>
      <c r="K90" s="134">
        <v>168840</v>
      </c>
      <c r="L90" s="204"/>
      <c r="M90" s="85"/>
      <c r="N90" s="85"/>
      <c r="O90" s="11"/>
      <c r="P90" s="11"/>
      <c r="Q90" s="11"/>
      <c r="R90" s="11"/>
      <c r="S90" s="11"/>
      <c r="T90" s="11"/>
      <c r="U90" s="11"/>
      <c r="V90" s="11"/>
    </row>
    <row r="91" spans="1:22" s="1" customFormat="1" ht="27.75" customHeight="1" x14ac:dyDescent="0.25">
      <c r="A91" s="4" t="s">
        <v>493</v>
      </c>
      <c r="B91" s="211" t="s">
        <v>154</v>
      </c>
      <c r="C91" s="109">
        <v>1</v>
      </c>
      <c r="D91" s="109">
        <v>1</v>
      </c>
      <c r="E91" s="109">
        <v>1</v>
      </c>
      <c r="F91" s="109">
        <v>1</v>
      </c>
      <c r="G91" s="109">
        <v>1</v>
      </c>
      <c r="H91" s="109">
        <v>1</v>
      </c>
      <c r="I91" s="134">
        <v>2500</v>
      </c>
      <c r="J91" s="134">
        <v>2500</v>
      </c>
      <c r="K91" s="134">
        <v>2500</v>
      </c>
      <c r="L91" s="204"/>
      <c r="M91" s="85"/>
      <c r="N91" s="85"/>
      <c r="O91" s="11"/>
      <c r="P91" s="11"/>
      <c r="Q91" s="11"/>
      <c r="R91" s="11"/>
      <c r="S91" s="11"/>
      <c r="T91" s="11"/>
      <c r="U91" s="11"/>
      <c r="V91" s="11"/>
    </row>
    <row r="92" spans="1:22" s="1" customFormat="1" ht="27" customHeight="1" x14ac:dyDescent="0.25">
      <c r="A92" s="4" t="s">
        <v>661</v>
      </c>
      <c r="B92" s="211" t="s">
        <v>155</v>
      </c>
      <c r="C92" s="109">
        <v>1</v>
      </c>
      <c r="D92" s="109">
        <v>1</v>
      </c>
      <c r="E92" s="109">
        <v>1</v>
      </c>
      <c r="F92" s="109">
        <v>1</v>
      </c>
      <c r="G92" s="109">
        <v>1</v>
      </c>
      <c r="H92" s="109">
        <v>1</v>
      </c>
      <c r="I92" s="134">
        <v>6500</v>
      </c>
      <c r="J92" s="134">
        <v>6500</v>
      </c>
      <c r="K92" s="134">
        <v>6500</v>
      </c>
      <c r="L92" s="204"/>
      <c r="M92" s="85"/>
      <c r="N92" s="85"/>
      <c r="O92" s="11"/>
      <c r="P92" s="11"/>
      <c r="Q92" s="11"/>
      <c r="R92" s="11"/>
      <c r="S92" s="11"/>
      <c r="T92" s="11"/>
      <c r="U92" s="11"/>
      <c r="V92" s="11"/>
    </row>
    <row r="93" spans="1:22" s="1" customFormat="1" ht="27.75" customHeight="1" x14ac:dyDescent="0.25">
      <c r="A93" s="4" t="s">
        <v>662</v>
      </c>
      <c r="B93" s="211" t="s">
        <v>156</v>
      </c>
      <c r="C93" s="109">
        <v>1</v>
      </c>
      <c r="D93" s="109">
        <v>1</v>
      </c>
      <c r="E93" s="109">
        <v>1</v>
      </c>
      <c r="F93" s="109">
        <v>1</v>
      </c>
      <c r="G93" s="109">
        <v>1</v>
      </c>
      <c r="H93" s="109">
        <v>1</v>
      </c>
      <c r="I93" s="134">
        <v>2824</v>
      </c>
      <c r="J93" s="134">
        <v>2824</v>
      </c>
      <c r="K93" s="134">
        <v>2824</v>
      </c>
      <c r="L93" s="204"/>
      <c r="M93" s="85"/>
      <c r="N93" s="85"/>
      <c r="O93" s="11"/>
      <c r="P93" s="11"/>
      <c r="Q93" s="11"/>
      <c r="R93" s="11"/>
      <c r="S93" s="11"/>
      <c r="T93" s="11"/>
      <c r="U93" s="11"/>
      <c r="V93" s="11"/>
    </row>
    <row r="94" spans="1:22" s="1" customFormat="1" ht="14.25" customHeight="1" x14ac:dyDescent="0.25">
      <c r="A94" s="4" t="s">
        <v>495</v>
      </c>
      <c r="B94" s="211" t="s">
        <v>157</v>
      </c>
      <c r="C94" s="109">
        <v>1</v>
      </c>
      <c r="D94" s="109">
        <v>1</v>
      </c>
      <c r="E94" s="109">
        <v>1</v>
      </c>
      <c r="F94" s="109">
        <v>1</v>
      </c>
      <c r="G94" s="109">
        <v>1</v>
      </c>
      <c r="H94" s="109">
        <v>1</v>
      </c>
      <c r="I94" s="134">
        <v>8400</v>
      </c>
      <c r="J94" s="134">
        <v>8400</v>
      </c>
      <c r="K94" s="134">
        <v>8400</v>
      </c>
      <c r="L94" s="204"/>
      <c r="M94" s="85"/>
      <c r="N94" s="85"/>
      <c r="O94" s="11"/>
      <c r="P94" s="11"/>
      <c r="Q94" s="11"/>
      <c r="R94" s="11"/>
      <c r="S94" s="11"/>
      <c r="T94" s="11"/>
      <c r="U94" s="11"/>
      <c r="V94" s="11"/>
    </row>
    <row r="95" spans="1:22" s="1" customFormat="1" ht="27" customHeight="1" x14ac:dyDescent="0.25">
      <c r="A95" s="4" t="s">
        <v>643</v>
      </c>
      <c r="B95" s="211" t="s">
        <v>158</v>
      </c>
      <c r="C95" s="109">
        <v>1</v>
      </c>
      <c r="D95" s="109">
        <v>1</v>
      </c>
      <c r="E95" s="109">
        <v>1</v>
      </c>
      <c r="F95" s="109">
        <v>1</v>
      </c>
      <c r="G95" s="109">
        <v>1</v>
      </c>
      <c r="H95" s="109">
        <v>1</v>
      </c>
      <c r="I95" s="134">
        <v>479688</v>
      </c>
      <c r="J95" s="134">
        <v>479688</v>
      </c>
      <c r="K95" s="134">
        <v>479688</v>
      </c>
      <c r="L95" s="204"/>
      <c r="M95" s="85"/>
      <c r="N95" s="85"/>
      <c r="O95" s="11"/>
      <c r="P95" s="11"/>
      <c r="Q95" s="11"/>
      <c r="R95" s="11"/>
      <c r="S95" s="11"/>
      <c r="T95" s="11"/>
      <c r="U95" s="11"/>
      <c r="V95" s="11"/>
    </row>
    <row r="96" spans="1:22" s="1" customFormat="1" ht="15.75" customHeight="1" x14ac:dyDescent="0.25">
      <c r="A96" s="4" t="s">
        <v>619</v>
      </c>
      <c r="B96" s="211" t="s">
        <v>159</v>
      </c>
      <c r="C96" s="109">
        <v>1</v>
      </c>
      <c r="D96" s="109">
        <v>1</v>
      </c>
      <c r="E96" s="109">
        <v>1</v>
      </c>
      <c r="F96" s="109">
        <v>1</v>
      </c>
      <c r="G96" s="109">
        <v>1</v>
      </c>
      <c r="H96" s="109">
        <v>1</v>
      </c>
      <c r="I96" s="134">
        <v>250000.00000000003</v>
      </c>
      <c r="J96" s="134">
        <v>250000.00000000003</v>
      </c>
      <c r="K96" s="134">
        <v>250000.00000000003</v>
      </c>
      <c r="L96" s="204"/>
      <c r="M96" s="85"/>
      <c r="N96" s="85"/>
      <c r="O96" s="11"/>
      <c r="P96" s="11"/>
      <c r="Q96" s="11"/>
      <c r="R96" s="11"/>
      <c r="S96" s="11"/>
      <c r="T96" s="11"/>
      <c r="U96" s="11"/>
      <c r="V96" s="11"/>
    </row>
    <row r="97" spans="1:22" s="1" customFormat="1" ht="15.75" x14ac:dyDescent="0.25">
      <c r="A97" s="51" t="s">
        <v>427</v>
      </c>
      <c r="B97" s="48" t="s">
        <v>1</v>
      </c>
      <c r="C97" s="48" t="s">
        <v>1</v>
      </c>
      <c r="D97" s="48" t="s">
        <v>1</v>
      </c>
      <c r="E97" s="48" t="s">
        <v>1</v>
      </c>
      <c r="F97" s="48" t="s">
        <v>1</v>
      </c>
      <c r="G97" s="48" t="s">
        <v>1</v>
      </c>
      <c r="H97" s="48" t="s">
        <v>1</v>
      </c>
      <c r="I97" s="94">
        <f>SUM(I88:I96)</f>
        <v>1573864</v>
      </c>
      <c r="J97" s="94">
        <f>SUM(J88:J96)</f>
        <v>1573864</v>
      </c>
      <c r="K97" s="94">
        <f>SUM(K88:K96)</f>
        <v>1573864</v>
      </c>
      <c r="L97" s="205"/>
      <c r="M97" s="85"/>
      <c r="N97" s="85"/>
      <c r="O97" s="11"/>
      <c r="P97" s="11"/>
      <c r="Q97" s="11"/>
      <c r="R97" s="11"/>
      <c r="S97" s="11"/>
      <c r="T97" s="11"/>
      <c r="U97" s="11"/>
      <c r="V97" s="11"/>
    </row>
    <row r="98" spans="1:22" x14ac:dyDescent="0.2">
      <c r="A98" s="1"/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98"/>
      <c r="M98" s="73"/>
      <c r="N98" s="73"/>
    </row>
    <row r="99" spans="1:22" x14ac:dyDescent="0.2">
      <c r="A99" s="293" t="s">
        <v>501</v>
      </c>
      <c r="B99" s="293"/>
      <c r="C99" s="293"/>
      <c r="D99" s="293"/>
      <c r="E99" s="293"/>
      <c r="F99" s="293"/>
      <c r="G99" s="293"/>
      <c r="H99" s="293"/>
      <c r="I99" s="293"/>
      <c r="J99" s="293"/>
      <c r="K99" s="293"/>
      <c r="L99" s="293"/>
      <c r="M99" s="293"/>
      <c r="N99" s="293"/>
    </row>
    <row r="100" spans="1:22" hidden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22" ht="12.75" hidden="1" customHeight="1" x14ac:dyDescent="0.2">
      <c r="A101" s="269" t="s">
        <v>451</v>
      </c>
      <c r="B101" s="269" t="s">
        <v>72</v>
      </c>
      <c r="C101" s="269" t="s">
        <v>497</v>
      </c>
      <c r="D101" s="269"/>
      <c r="E101" s="269"/>
      <c r="F101" s="269" t="s">
        <v>498</v>
      </c>
      <c r="G101" s="269"/>
      <c r="H101" s="269"/>
      <c r="I101" s="283" t="s">
        <v>43</v>
      </c>
      <c r="J101" s="283"/>
      <c r="K101" s="283"/>
      <c r="L101" s="1"/>
      <c r="M101" s="1"/>
      <c r="N101" s="1"/>
    </row>
    <row r="102" spans="1:22" ht="15" hidden="1" customHeight="1" x14ac:dyDescent="0.2">
      <c r="A102" s="269"/>
      <c r="B102" s="269"/>
      <c r="C102" s="253" t="s">
        <v>399</v>
      </c>
      <c r="D102" s="253" t="s">
        <v>611</v>
      </c>
      <c r="E102" s="253" t="s">
        <v>650</v>
      </c>
      <c r="F102" s="253" t="s">
        <v>399</v>
      </c>
      <c r="G102" s="253" t="s">
        <v>611</v>
      </c>
      <c r="H102" s="253" t="s">
        <v>650</v>
      </c>
      <c r="I102" s="253" t="s">
        <v>399</v>
      </c>
      <c r="J102" s="253" t="s">
        <v>611</v>
      </c>
      <c r="K102" s="253" t="s">
        <v>650</v>
      </c>
      <c r="L102" s="1"/>
      <c r="M102" s="1"/>
      <c r="N102" s="1"/>
    </row>
    <row r="103" spans="1:22" ht="38.25" hidden="1" x14ac:dyDescent="0.2">
      <c r="A103" s="269"/>
      <c r="B103" s="269"/>
      <c r="C103" s="44" t="s">
        <v>44</v>
      </c>
      <c r="D103" s="44" t="s">
        <v>45</v>
      </c>
      <c r="E103" s="44" t="s">
        <v>46</v>
      </c>
      <c r="F103" s="44" t="s">
        <v>44</v>
      </c>
      <c r="G103" s="44" t="s">
        <v>45</v>
      </c>
      <c r="H103" s="44" t="s">
        <v>46</v>
      </c>
      <c r="I103" s="44" t="s">
        <v>44</v>
      </c>
      <c r="J103" s="44" t="s">
        <v>45</v>
      </c>
      <c r="K103" s="44" t="s">
        <v>46</v>
      </c>
      <c r="L103" s="1"/>
      <c r="M103" s="1"/>
      <c r="N103" s="1"/>
    </row>
    <row r="104" spans="1:22" hidden="1" x14ac:dyDescent="0.2">
      <c r="A104" s="51" t="s">
        <v>190</v>
      </c>
      <c r="B104" s="51" t="s">
        <v>73</v>
      </c>
      <c r="C104" s="51" t="s">
        <v>47</v>
      </c>
      <c r="D104" s="51" t="s">
        <v>48</v>
      </c>
      <c r="E104" s="51" t="s">
        <v>49</v>
      </c>
      <c r="F104" s="51" t="s">
        <v>52</v>
      </c>
      <c r="G104" s="51" t="s">
        <v>53</v>
      </c>
      <c r="H104" s="51" t="s">
        <v>91</v>
      </c>
      <c r="I104" s="51" t="s">
        <v>92</v>
      </c>
      <c r="J104" s="51" t="s">
        <v>93</v>
      </c>
      <c r="K104" s="51" t="s">
        <v>94</v>
      </c>
      <c r="L104" s="1"/>
      <c r="M104" s="1"/>
      <c r="N104" s="1"/>
    </row>
    <row r="105" spans="1:22" ht="27" hidden="1" customHeight="1" x14ac:dyDescent="0.2">
      <c r="A105" s="4" t="s">
        <v>499</v>
      </c>
      <c r="B105" s="51" t="s">
        <v>98</v>
      </c>
      <c r="C105" s="110"/>
      <c r="D105" s="110"/>
      <c r="E105" s="110"/>
      <c r="F105" s="48"/>
      <c r="G105" s="48"/>
      <c r="H105" s="48"/>
      <c r="I105" s="48"/>
      <c r="J105" s="48"/>
      <c r="K105" s="48"/>
      <c r="L105" s="1"/>
      <c r="M105" s="1"/>
      <c r="N105" s="1"/>
    </row>
    <row r="106" spans="1:22" hidden="1" x14ac:dyDescent="0.2">
      <c r="A106" s="51" t="s">
        <v>427</v>
      </c>
      <c r="B106" s="96" t="s">
        <v>139</v>
      </c>
      <c r="C106" s="51" t="s">
        <v>1</v>
      </c>
      <c r="D106" s="51" t="s">
        <v>1</v>
      </c>
      <c r="E106" s="51" t="s">
        <v>1</v>
      </c>
      <c r="F106" s="48" t="s">
        <v>1</v>
      </c>
      <c r="G106" s="48" t="s">
        <v>1</v>
      </c>
      <c r="H106" s="48" t="s">
        <v>1</v>
      </c>
      <c r="I106" s="30">
        <f>SUM(I105:I105)</f>
        <v>0</v>
      </c>
      <c r="J106" s="30">
        <f>SUM(J105:J105)</f>
        <v>0</v>
      </c>
      <c r="K106" s="30">
        <f>SUM(K105:K105)</f>
        <v>0</v>
      </c>
      <c r="L106" s="1"/>
      <c r="M106" s="1"/>
      <c r="N106" s="1"/>
    </row>
    <row r="107" spans="1:22" x14ac:dyDescent="0.2">
      <c r="A107" s="1"/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98"/>
      <c r="M107" s="73"/>
      <c r="N107" s="73"/>
    </row>
    <row r="108" spans="1:22" x14ac:dyDescent="0.2">
      <c r="A108" s="8" t="s">
        <v>502</v>
      </c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98"/>
      <c r="M108" s="73"/>
      <c r="N108" s="73"/>
    </row>
    <row r="109" spans="1:22" x14ac:dyDescent="0.2">
      <c r="A109" s="1"/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98"/>
      <c r="M109" s="73"/>
      <c r="N109" s="73"/>
    </row>
    <row r="110" spans="1:22" x14ac:dyDescent="0.2">
      <c r="A110" s="269" t="s">
        <v>451</v>
      </c>
      <c r="B110" s="307" t="s">
        <v>72</v>
      </c>
      <c r="C110" s="275" t="s">
        <v>68</v>
      </c>
      <c r="D110" s="275"/>
      <c r="E110" s="275"/>
      <c r="F110" s="275" t="s">
        <v>149</v>
      </c>
      <c r="G110" s="275"/>
      <c r="H110" s="275"/>
      <c r="I110" s="275" t="s">
        <v>43</v>
      </c>
      <c r="J110" s="275"/>
      <c r="K110" s="275"/>
      <c r="L110" s="345"/>
      <c r="M110" s="73"/>
      <c r="N110" s="73"/>
    </row>
    <row r="111" spans="1:22" x14ac:dyDescent="0.2">
      <c r="A111" s="269"/>
      <c r="B111" s="307"/>
      <c r="C111" s="253" t="s">
        <v>399</v>
      </c>
      <c r="D111" s="253" t="s">
        <v>611</v>
      </c>
      <c r="E111" s="253" t="s">
        <v>650</v>
      </c>
      <c r="F111" s="253" t="s">
        <v>399</v>
      </c>
      <c r="G111" s="253" t="s">
        <v>611</v>
      </c>
      <c r="H111" s="253" t="s">
        <v>650</v>
      </c>
      <c r="I111" s="253" t="s">
        <v>399</v>
      </c>
      <c r="J111" s="253" t="s">
        <v>611</v>
      </c>
      <c r="K111" s="253" t="s">
        <v>650</v>
      </c>
      <c r="L111" s="345"/>
      <c r="M111" s="73"/>
      <c r="N111" s="73"/>
    </row>
    <row r="112" spans="1:22" ht="38.25" x14ac:dyDescent="0.2">
      <c r="A112" s="269"/>
      <c r="B112" s="307"/>
      <c r="C112" s="49" t="s">
        <v>44</v>
      </c>
      <c r="D112" s="49" t="s">
        <v>45</v>
      </c>
      <c r="E112" s="49" t="s">
        <v>46</v>
      </c>
      <c r="F112" s="49" t="s">
        <v>44</v>
      </c>
      <c r="G112" s="49" t="s">
        <v>45</v>
      </c>
      <c r="H112" s="49" t="s">
        <v>46</v>
      </c>
      <c r="I112" s="49" t="s">
        <v>44</v>
      </c>
      <c r="J112" s="49" t="s">
        <v>45</v>
      </c>
      <c r="K112" s="49" t="s">
        <v>46</v>
      </c>
      <c r="L112" s="345"/>
      <c r="M112" s="73"/>
      <c r="N112" s="73"/>
    </row>
    <row r="113" spans="1:14" x14ac:dyDescent="0.2">
      <c r="A113" s="51" t="s">
        <v>190</v>
      </c>
      <c r="B113" s="48" t="s">
        <v>73</v>
      </c>
      <c r="C113" s="48" t="s">
        <v>47</v>
      </c>
      <c r="D113" s="48" t="s">
        <v>48</v>
      </c>
      <c r="E113" s="48" t="s">
        <v>49</v>
      </c>
      <c r="F113" s="48" t="s">
        <v>52</v>
      </c>
      <c r="G113" s="48" t="s">
        <v>53</v>
      </c>
      <c r="H113" s="48" t="s">
        <v>91</v>
      </c>
      <c r="I113" s="48" t="s">
        <v>92</v>
      </c>
      <c r="J113" s="48" t="s">
        <v>93</v>
      </c>
      <c r="K113" s="48" t="s">
        <v>94</v>
      </c>
      <c r="L113" s="203"/>
      <c r="M113" s="73"/>
      <c r="N113" s="73"/>
    </row>
    <row r="114" spans="1:14" ht="15" customHeight="1" x14ac:dyDescent="0.2">
      <c r="A114" s="45" t="s">
        <v>663</v>
      </c>
      <c r="B114" s="48" t="s">
        <v>98</v>
      </c>
      <c r="C114" s="109">
        <v>1</v>
      </c>
      <c r="D114" s="109">
        <v>1</v>
      </c>
      <c r="E114" s="109">
        <v>1</v>
      </c>
      <c r="F114" s="109">
        <v>1</v>
      </c>
      <c r="G114" s="109">
        <v>1</v>
      </c>
      <c r="H114" s="109">
        <v>1</v>
      </c>
      <c r="I114" s="134">
        <v>356958</v>
      </c>
      <c r="J114" s="134">
        <v>356958</v>
      </c>
      <c r="K114" s="134">
        <v>356958</v>
      </c>
      <c r="L114" s="204"/>
      <c r="M114" s="100"/>
      <c r="N114" s="100"/>
    </row>
    <row r="115" spans="1:14" ht="54" customHeight="1" x14ac:dyDescent="0.2">
      <c r="A115" s="260" t="s">
        <v>635</v>
      </c>
      <c r="B115" s="261" t="s">
        <v>99</v>
      </c>
      <c r="C115" s="262">
        <v>1</v>
      </c>
      <c r="D115" s="262">
        <v>1</v>
      </c>
      <c r="E115" s="262">
        <v>1</v>
      </c>
      <c r="F115" s="262">
        <v>4</v>
      </c>
      <c r="G115" s="262">
        <v>3</v>
      </c>
      <c r="H115" s="262">
        <v>2</v>
      </c>
      <c r="I115" s="261">
        <v>4583543</v>
      </c>
      <c r="J115" s="261">
        <v>4594994</v>
      </c>
      <c r="K115" s="261">
        <v>4415392</v>
      </c>
      <c r="L115" s="204"/>
      <c r="M115" s="100"/>
      <c r="N115" s="100"/>
    </row>
    <row r="116" spans="1:14" x14ac:dyDescent="0.2">
      <c r="A116" s="51" t="s">
        <v>427</v>
      </c>
      <c r="B116" s="48" t="s">
        <v>1</v>
      </c>
      <c r="C116" s="48" t="s">
        <v>1</v>
      </c>
      <c r="D116" s="48" t="s">
        <v>1</v>
      </c>
      <c r="E116" s="48" t="s">
        <v>1</v>
      </c>
      <c r="F116" s="48" t="s">
        <v>1</v>
      </c>
      <c r="G116" s="48" t="s">
        <v>1</v>
      </c>
      <c r="H116" s="48" t="s">
        <v>1</v>
      </c>
      <c r="I116" s="30">
        <f>SUM(I114:I115)</f>
        <v>4940501</v>
      </c>
      <c r="J116" s="30">
        <f t="shared" ref="J116:K116" si="20">SUM(J114:J115)</f>
        <v>4951952</v>
      </c>
      <c r="K116" s="30">
        <f t="shared" si="20"/>
        <v>4772350</v>
      </c>
      <c r="L116" s="205"/>
      <c r="M116" s="73"/>
      <c r="N116" s="73"/>
    </row>
    <row r="117" spans="1:14" x14ac:dyDescent="0.2">
      <c r="A117" s="1"/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73"/>
      <c r="M117" s="138"/>
      <c r="N117" s="73"/>
    </row>
    <row r="118" spans="1:14" x14ac:dyDescent="0.2">
      <c r="A118" s="8" t="s">
        <v>507</v>
      </c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138"/>
      <c r="M118" s="73"/>
      <c r="N118" s="73"/>
    </row>
    <row r="119" spans="1:14" hidden="1" x14ac:dyDescent="0.2">
      <c r="A119" s="1"/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73"/>
      <c r="M119" s="73"/>
      <c r="N119" s="73"/>
    </row>
    <row r="120" spans="1:14" hidden="1" x14ac:dyDescent="0.2">
      <c r="A120" s="269" t="s">
        <v>451</v>
      </c>
      <c r="B120" s="307" t="s">
        <v>72</v>
      </c>
      <c r="C120" s="308" t="s">
        <v>69</v>
      </c>
      <c r="D120" s="308"/>
      <c r="E120" s="308"/>
      <c r="F120" s="308" t="s">
        <v>150</v>
      </c>
      <c r="G120" s="308"/>
      <c r="H120" s="308"/>
      <c r="I120" s="305" t="s">
        <v>43</v>
      </c>
      <c r="J120" s="305"/>
      <c r="K120" s="305"/>
      <c r="L120" s="73"/>
      <c r="M120" s="73"/>
      <c r="N120" s="73"/>
    </row>
    <row r="121" spans="1:14" hidden="1" x14ac:dyDescent="0.2">
      <c r="A121" s="269"/>
      <c r="B121" s="307"/>
      <c r="C121" s="48" t="s">
        <v>8</v>
      </c>
      <c r="D121" s="48" t="s">
        <v>9</v>
      </c>
      <c r="E121" s="48" t="s">
        <v>399</v>
      </c>
      <c r="F121" s="48" t="s">
        <v>8</v>
      </c>
      <c r="G121" s="48" t="s">
        <v>9</v>
      </c>
      <c r="H121" s="48" t="s">
        <v>399</v>
      </c>
      <c r="I121" s="48" t="s">
        <v>8</v>
      </c>
      <c r="J121" s="48" t="s">
        <v>9</v>
      </c>
      <c r="K121" s="48" t="s">
        <v>399</v>
      </c>
      <c r="L121" s="73"/>
      <c r="M121" s="73"/>
      <c r="N121" s="73"/>
    </row>
    <row r="122" spans="1:14" ht="38.25" hidden="1" x14ac:dyDescent="0.2">
      <c r="A122" s="269"/>
      <c r="B122" s="307"/>
      <c r="C122" s="49" t="s">
        <v>44</v>
      </c>
      <c r="D122" s="50" t="s">
        <v>45</v>
      </c>
      <c r="E122" s="50" t="s">
        <v>46</v>
      </c>
      <c r="F122" s="49" t="s">
        <v>44</v>
      </c>
      <c r="G122" s="50" t="s">
        <v>45</v>
      </c>
      <c r="H122" s="50" t="s">
        <v>46</v>
      </c>
      <c r="I122" s="49" t="s">
        <v>44</v>
      </c>
      <c r="J122" s="50" t="s">
        <v>45</v>
      </c>
      <c r="K122" s="50" t="s">
        <v>46</v>
      </c>
      <c r="L122" s="73"/>
      <c r="M122" s="73"/>
      <c r="N122" s="73"/>
    </row>
    <row r="123" spans="1:14" hidden="1" x14ac:dyDescent="0.2">
      <c r="A123" s="51" t="s">
        <v>190</v>
      </c>
      <c r="B123" s="48" t="s">
        <v>73</v>
      </c>
      <c r="C123" s="48" t="s">
        <v>47</v>
      </c>
      <c r="D123" s="48" t="s">
        <v>48</v>
      </c>
      <c r="E123" s="48" t="s">
        <v>49</v>
      </c>
      <c r="F123" s="48" t="s">
        <v>52</v>
      </c>
      <c r="G123" s="48" t="s">
        <v>53</v>
      </c>
      <c r="H123" s="48" t="s">
        <v>91</v>
      </c>
      <c r="I123" s="48" t="s">
        <v>92</v>
      </c>
      <c r="J123" s="48" t="s">
        <v>93</v>
      </c>
      <c r="K123" s="48" t="s">
        <v>94</v>
      </c>
      <c r="L123" s="73"/>
      <c r="M123" s="73"/>
      <c r="N123" s="73"/>
    </row>
    <row r="124" spans="1:14" hidden="1" x14ac:dyDescent="0.2">
      <c r="A124" s="45"/>
      <c r="B124" s="48" t="s">
        <v>98</v>
      </c>
      <c r="C124" s="36"/>
      <c r="D124" s="36"/>
      <c r="E124" s="36"/>
      <c r="F124" s="36"/>
      <c r="G124" s="36"/>
      <c r="H124" s="36"/>
      <c r="I124" s="36"/>
      <c r="J124" s="36"/>
      <c r="K124" s="36"/>
      <c r="L124" s="73"/>
      <c r="M124" s="73"/>
      <c r="N124" s="73"/>
    </row>
    <row r="125" spans="1:14" hidden="1" x14ac:dyDescent="0.2">
      <c r="A125" s="51" t="s">
        <v>427</v>
      </c>
      <c r="B125" s="48" t="s">
        <v>1</v>
      </c>
      <c r="C125" s="48" t="s">
        <v>1</v>
      </c>
      <c r="D125" s="48" t="s">
        <v>1</v>
      </c>
      <c r="E125" s="48" t="s">
        <v>1</v>
      </c>
      <c r="F125" s="48" t="s">
        <v>1</v>
      </c>
      <c r="G125" s="48" t="s">
        <v>1</v>
      </c>
      <c r="H125" s="48" t="s">
        <v>1</v>
      </c>
      <c r="I125" s="36">
        <f>SUM(I124:I124)</f>
        <v>0</v>
      </c>
      <c r="J125" s="36">
        <f>SUM(J124:J124)</f>
        <v>0</v>
      </c>
      <c r="K125" s="36">
        <f>SUM(K124:K124)</f>
        <v>0</v>
      </c>
      <c r="L125" s="73"/>
      <c r="M125" s="73"/>
      <c r="N125" s="73"/>
    </row>
    <row r="126" spans="1:14" x14ac:dyDescent="0.2">
      <c r="A126" s="73"/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</row>
    <row r="127" spans="1:14" ht="11.25" customHeight="1" x14ac:dyDescent="0.2">
      <c r="A127" s="8" t="s">
        <v>508</v>
      </c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73"/>
      <c r="M127" s="73"/>
      <c r="N127" s="73"/>
    </row>
    <row r="128" spans="1:14" hidden="1" x14ac:dyDescent="0.2">
      <c r="A128" s="8"/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73"/>
      <c r="M128" s="73"/>
      <c r="N128" s="73"/>
    </row>
    <row r="129" spans="1:14" hidden="1" x14ac:dyDescent="0.2">
      <c r="A129" s="269" t="s">
        <v>451</v>
      </c>
      <c r="B129" s="307" t="s">
        <v>72</v>
      </c>
      <c r="C129" s="308" t="s">
        <v>204</v>
      </c>
      <c r="D129" s="308"/>
      <c r="E129" s="308"/>
      <c r="F129" s="307" t="s">
        <v>205</v>
      </c>
      <c r="G129" s="307"/>
      <c r="H129" s="307"/>
      <c r="I129" s="305" t="s">
        <v>43</v>
      </c>
      <c r="J129" s="305"/>
      <c r="K129" s="305"/>
      <c r="L129" s="73"/>
      <c r="M129" s="73"/>
      <c r="N129" s="73"/>
    </row>
    <row r="130" spans="1:14" hidden="1" x14ac:dyDescent="0.2">
      <c r="A130" s="269"/>
      <c r="B130" s="307"/>
      <c r="C130" s="48" t="s">
        <v>8</v>
      </c>
      <c r="D130" s="48" t="s">
        <v>9</v>
      </c>
      <c r="E130" s="48" t="s">
        <v>399</v>
      </c>
      <c r="F130" s="48" t="s">
        <v>8</v>
      </c>
      <c r="G130" s="48" t="s">
        <v>9</v>
      </c>
      <c r="H130" s="48" t="s">
        <v>399</v>
      </c>
      <c r="I130" s="48" t="s">
        <v>8</v>
      </c>
      <c r="J130" s="48" t="s">
        <v>9</v>
      </c>
      <c r="K130" s="48" t="s">
        <v>399</v>
      </c>
      <c r="L130" s="73"/>
      <c r="M130" s="73"/>
      <c r="N130" s="73"/>
    </row>
    <row r="131" spans="1:14" ht="38.25" hidden="1" x14ac:dyDescent="0.2">
      <c r="A131" s="269"/>
      <c r="B131" s="307"/>
      <c r="C131" s="49" t="s">
        <v>44</v>
      </c>
      <c r="D131" s="50" t="s">
        <v>45</v>
      </c>
      <c r="E131" s="50" t="s">
        <v>46</v>
      </c>
      <c r="F131" s="49" t="s">
        <v>44</v>
      </c>
      <c r="G131" s="50" t="s">
        <v>45</v>
      </c>
      <c r="H131" s="50" t="s">
        <v>46</v>
      </c>
      <c r="I131" s="49" t="s">
        <v>44</v>
      </c>
      <c r="J131" s="50" t="s">
        <v>45</v>
      </c>
      <c r="K131" s="50" t="s">
        <v>46</v>
      </c>
      <c r="L131" s="73"/>
      <c r="M131" s="73"/>
      <c r="N131" s="73"/>
    </row>
    <row r="132" spans="1:14" hidden="1" x14ac:dyDescent="0.2">
      <c r="A132" s="51" t="s">
        <v>190</v>
      </c>
      <c r="B132" s="48" t="s">
        <v>73</v>
      </c>
      <c r="C132" s="48" t="s">
        <v>47</v>
      </c>
      <c r="D132" s="48" t="s">
        <v>48</v>
      </c>
      <c r="E132" s="48" t="s">
        <v>49</v>
      </c>
      <c r="F132" s="48" t="s">
        <v>52</v>
      </c>
      <c r="G132" s="48" t="s">
        <v>53</v>
      </c>
      <c r="H132" s="48" t="s">
        <v>91</v>
      </c>
      <c r="I132" s="48" t="s">
        <v>92</v>
      </c>
      <c r="J132" s="48" t="s">
        <v>93</v>
      </c>
      <c r="K132" s="48" t="s">
        <v>94</v>
      </c>
      <c r="L132" s="73"/>
      <c r="M132" s="73"/>
      <c r="N132" s="73"/>
    </row>
    <row r="133" spans="1:14" hidden="1" x14ac:dyDescent="0.2">
      <c r="A133" s="45"/>
      <c r="B133" s="48" t="s">
        <v>98</v>
      </c>
      <c r="C133" s="93"/>
      <c r="D133" s="93"/>
      <c r="E133" s="93"/>
      <c r="F133" s="70"/>
      <c r="G133" s="70"/>
      <c r="H133" s="70"/>
      <c r="I133" s="70">
        <f>C133*F133</f>
        <v>0</v>
      </c>
      <c r="J133" s="70">
        <f t="shared" ref="J133:K133" si="21">D133*G133</f>
        <v>0</v>
      </c>
      <c r="K133" s="70">
        <f t="shared" si="21"/>
        <v>0</v>
      </c>
      <c r="L133" s="73"/>
      <c r="M133" s="73"/>
      <c r="N133" s="73"/>
    </row>
    <row r="134" spans="1:14" hidden="1" x14ac:dyDescent="0.2">
      <c r="A134" s="51" t="s">
        <v>427</v>
      </c>
      <c r="B134" s="48" t="s">
        <v>1</v>
      </c>
      <c r="C134" s="48" t="s">
        <v>1</v>
      </c>
      <c r="D134" s="48" t="s">
        <v>1</v>
      </c>
      <c r="E134" s="48" t="s">
        <v>1</v>
      </c>
      <c r="F134" s="48" t="s">
        <v>1</v>
      </c>
      <c r="G134" s="48" t="s">
        <v>1</v>
      </c>
      <c r="H134" s="48" t="s">
        <v>1</v>
      </c>
      <c r="I134" s="108">
        <f>SUM(I133:I133)</f>
        <v>0</v>
      </c>
      <c r="J134" s="108">
        <f>SUM(J133:J133)</f>
        <v>0</v>
      </c>
      <c r="K134" s="108">
        <f>SUM(K133:K133)</f>
        <v>0</v>
      </c>
      <c r="L134" s="73"/>
      <c r="M134" s="73"/>
      <c r="N134" s="73"/>
    </row>
    <row r="135" spans="1:14" x14ac:dyDescent="0.2">
      <c r="A135" s="23"/>
      <c r="B135" s="89"/>
      <c r="C135" s="89"/>
      <c r="D135" s="89"/>
      <c r="E135" s="89"/>
      <c r="F135" s="89"/>
      <c r="G135" s="89"/>
      <c r="H135" s="89"/>
      <c r="I135" s="193"/>
      <c r="J135" s="193"/>
      <c r="K135" s="193"/>
      <c r="L135" s="73"/>
      <c r="M135" s="73"/>
      <c r="N135" s="73"/>
    </row>
    <row r="136" spans="1:14" x14ac:dyDescent="0.2">
      <c r="A136" s="343" t="s">
        <v>636</v>
      </c>
      <c r="B136" s="343"/>
      <c r="C136" s="343"/>
      <c r="D136" s="343"/>
      <c r="E136" s="343"/>
      <c r="F136" s="343"/>
      <c r="G136" s="343"/>
      <c r="H136" s="343"/>
      <c r="I136" s="343"/>
      <c r="J136" s="343"/>
      <c r="K136" s="343"/>
      <c r="L136" s="343"/>
      <c r="M136" s="343"/>
      <c r="N136" s="343"/>
    </row>
    <row r="137" spans="1:14" hidden="1" x14ac:dyDescent="0.2">
      <c r="A137" s="32"/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73"/>
      <c r="M137" s="73"/>
      <c r="N137" s="73"/>
    </row>
    <row r="138" spans="1:14" hidden="1" x14ac:dyDescent="0.2">
      <c r="A138" s="344" t="s">
        <v>451</v>
      </c>
      <c r="B138" s="307" t="s">
        <v>72</v>
      </c>
      <c r="C138" s="308" t="s">
        <v>545</v>
      </c>
      <c r="D138" s="308"/>
      <c r="E138" s="308"/>
      <c r="F138" s="307" t="s">
        <v>205</v>
      </c>
      <c r="G138" s="307"/>
      <c r="H138" s="307"/>
      <c r="I138" s="305" t="s">
        <v>43</v>
      </c>
      <c r="J138" s="305"/>
      <c r="K138" s="305"/>
      <c r="L138" s="345"/>
      <c r="M138" s="73"/>
      <c r="N138" s="73"/>
    </row>
    <row r="139" spans="1:14" hidden="1" x14ac:dyDescent="0.2">
      <c r="A139" s="344"/>
      <c r="B139" s="307"/>
      <c r="C139" s="253" t="s">
        <v>399</v>
      </c>
      <c r="D139" s="253" t="s">
        <v>611</v>
      </c>
      <c r="E139" s="253" t="s">
        <v>650</v>
      </c>
      <c r="F139" s="253" t="s">
        <v>399</v>
      </c>
      <c r="G139" s="253" t="s">
        <v>611</v>
      </c>
      <c r="H139" s="253" t="s">
        <v>650</v>
      </c>
      <c r="I139" s="253" t="s">
        <v>399</v>
      </c>
      <c r="J139" s="253" t="s">
        <v>611</v>
      </c>
      <c r="K139" s="253" t="s">
        <v>650</v>
      </c>
      <c r="L139" s="345"/>
      <c r="M139" s="73"/>
      <c r="N139" s="73"/>
    </row>
    <row r="140" spans="1:14" ht="38.25" hidden="1" x14ac:dyDescent="0.2">
      <c r="A140" s="344"/>
      <c r="B140" s="307"/>
      <c r="C140" s="232" t="s">
        <v>44</v>
      </c>
      <c r="D140" s="233" t="s">
        <v>45</v>
      </c>
      <c r="E140" s="233" t="s">
        <v>46</v>
      </c>
      <c r="F140" s="232" t="s">
        <v>44</v>
      </c>
      <c r="G140" s="233" t="s">
        <v>45</v>
      </c>
      <c r="H140" s="233" t="s">
        <v>46</v>
      </c>
      <c r="I140" s="232" t="s">
        <v>44</v>
      </c>
      <c r="J140" s="233" t="s">
        <v>45</v>
      </c>
      <c r="K140" s="233" t="s">
        <v>46</v>
      </c>
      <c r="L140" s="345"/>
      <c r="M140" s="73"/>
      <c r="N140" s="73"/>
    </row>
    <row r="141" spans="1:14" hidden="1" x14ac:dyDescent="0.2">
      <c r="A141" s="34" t="s">
        <v>190</v>
      </c>
      <c r="B141" s="231" t="s">
        <v>73</v>
      </c>
      <c r="C141" s="231" t="s">
        <v>47</v>
      </c>
      <c r="D141" s="231" t="s">
        <v>48</v>
      </c>
      <c r="E141" s="231" t="s">
        <v>49</v>
      </c>
      <c r="F141" s="231" t="s">
        <v>52</v>
      </c>
      <c r="G141" s="231" t="s">
        <v>53</v>
      </c>
      <c r="H141" s="231" t="s">
        <v>91</v>
      </c>
      <c r="I141" s="231" t="s">
        <v>92</v>
      </c>
      <c r="J141" s="231" t="s">
        <v>93</v>
      </c>
      <c r="K141" s="231" t="s">
        <v>94</v>
      </c>
      <c r="L141" s="203"/>
      <c r="M141" s="73"/>
      <c r="N141" s="73"/>
    </row>
    <row r="142" spans="1:14" hidden="1" x14ac:dyDescent="0.2">
      <c r="A142" s="42"/>
      <c r="B142" s="231"/>
      <c r="C142" s="93"/>
      <c r="D142" s="93"/>
      <c r="E142" s="93"/>
      <c r="F142" s="231"/>
      <c r="G142" s="231"/>
      <c r="H142" s="231"/>
      <c r="I142" s="231"/>
      <c r="J142" s="231">
        <v>0</v>
      </c>
      <c r="K142" s="231">
        <v>0</v>
      </c>
      <c r="L142" s="204"/>
      <c r="M142" s="73"/>
      <c r="N142" s="73"/>
    </row>
    <row r="143" spans="1:14" hidden="1" x14ac:dyDescent="0.2">
      <c r="A143" s="34" t="s">
        <v>427</v>
      </c>
      <c r="B143" s="231" t="s">
        <v>1</v>
      </c>
      <c r="C143" s="231" t="s">
        <v>1</v>
      </c>
      <c r="D143" s="231" t="s">
        <v>1</v>
      </c>
      <c r="E143" s="231" t="s">
        <v>1</v>
      </c>
      <c r="F143" s="231" t="s">
        <v>1</v>
      </c>
      <c r="G143" s="231" t="s">
        <v>1</v>
      </c>
      <c r="H143" s="231" t="s">
        <v>1</v>
      </c>
      <c r="I143" s="30">
        <f>SUM(I142:I142)</f>
        <v>0</v>
      </c>
      <c r="J143" s="30">
        <f>SUM(J142:J142)</f>
        <v>0</v>
      </c>
      <c r="K143" s="30">
        <f>SUM(K142:K142)</f>
        <v>0</v>
      </c>
      <c r="L143" s="205"/>
      <c r="M143" s="73"/>
      <c r="N143" s="73"/>
    </row>
    <row r="144" spans="1:14" x14ac:dyDescent="0.2">
      <c r="A144" s="135"/>
      <c r="B144" s="89"/>
      <c r="C144" s="89"/>
      <c r="D144" s="89"/>
      <c r="E144" s="89"/>
      <c r="F144" s="89"/>
      <c r="G144" s="89"/>
      <c r="H144" s="89"/>
      <c r="I144" s="157"/>
      <c r="J144" s="157"/>
      <c r="K144" s="157"/>
      <c r="L144" s="247"/>
      <c r="M144" s="73"/>
      <c r="N144" s="73"/>
    </row>
    <row r="145" spans="1:14" ht="12.75" customHeight="1" x14ac:dyDescent="0.2">
      <c r="A145" s="343" t="s">
        <v>645</v>
      </c>
      <c r="B145" s="343"/>
      <c r="C145" s="343"/>
      <c r="D145" s="343"/>
      <c r="E145" s="343"/>
      <c r="F145" s="343"/>
      <c r="G145" s="343"/>
      <c r="H145" s="343"/>
      <c r="I145" s="343"/>
      <c r="J145" s="343"/>
      <c r="K145" s="343"/>
      <c r="L145" s="343"/>
      <c r="M145" s="343"/>
      <c r="N145" s="343"/>
    </row>
    <row r="146" spans="1:14" hidden="1" x14ac:dyDescent="0.2">
      <c r="A146" s="32"/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73"/>
      <c r="M146" s="73"/>
      <c r="N146" s="73"/>
    </row>
    <row r="147" spans="1:14" ht="12.75" hidden="1" customHeight="1" x14ac:dyDescent="0.2">
      <c r="A147" s="344" t="s">
        <v>451</v>
      </c>
      <c r="B147" s="307" t="s">
        <v>72</v>
      </c>
      <c r="C147" s="308" t="s">
        <v>544</v>
      </c>
      <c r="D147" s="308"/>
      <c r="E147" s="308"/>
      <c r="F147" s="307" t="s">
        <v>205</v>
      </c>
      <c r="G147" s="307"/>
      <c r="H147" s="307"/>
      <c r="I147" s="305" t="s">
        <v>43</v>
      </c>
      <c r="J147" s="305"/>
      <c r="K147" s="305"/>
      <c r="L147" s="345"/>
      <c r="M147" s="73"/>
      <c r="N147" s="73"/>
    </row>
    <row r="148" spans="1:14" ht="12.75" hidden="1" customHeight="1" x14ac:dyDescent="0.2">
      <c r="A148" s="344"/>
      <c r="B148" s="307"/>
      <c r="C148" s="253" t="s">
        <v>399</v>
      </c>
      <c r="D148" s="253" t="s">
        <v>611</v>
      </c>
      <c r="E148" s="253" t="s">
        <v>650</v>
      </c>
      <c r="F148" s="253" t="s">
        <v>399</v>
      </c>
      <c r="G148" s="253" t="s">
        <v>611</v>
      </c>
      <c r="H148" s="253" t="s">
        <v>650</v>
      </c>
      <c r="I148" s="253" t="s">
        <v>399</v>
      </c>
      <c r="J148" s="253" t="s">
        <v>611</v>
      </c>
      <c r="K148" s="253" t="s">
        <v>650</v>
      </c>
      <c r="L148" s="345"/>
      <c r="M148" s="73"/>
      <c r="N148" s="73"/>
    </row>
    <row r="149" spans="1:14" ht="12.75" hidden="1" customHeight="1" x14ac:dyDescent="0.2">
      <c r="A149" s="344"/>
      <c r="B149" s="307"/>
      <c r="C149" s="244" t="s">
        <v>44</v>
      </c>
      <c r="D149" s="245" t="s">
        <v>45</v>
      </c>
      <c r="E149" s="245" t="s">
        <v>46</v>
      </c>
      <c r="F149" s="244" t="s">
        <v>44</v>
      </c>
      <c r="G149" s="245" t="s">
        <v>45</v>
      </c>
      <c r="H149" s="245" t="s">
        <v>46</v>
      </c>
      <c r="I149" s="244" t="s">
        <v>44</v>
      </c>
      <c r="J149" s="245" t="s">
        <v>45</v>
      </c>
      <c r="K149" s="245" t="s">
        <v>46</v>
      </c>
      <c r="L149" s="345"/>
      <c r="M149" s="73"/>
      <c r="N149" s="73"/>
    </row>
    <row r="150" spans="1:14" ht="12.75" hidden="1" customHeight="1" x14ac:dyDescent="0.2">
      <c r="A150" s="34" t="s">
        <v>190</v>
      </c>
      <c r="B150" s="243" t="s">
        <v>73</v>
      </c>
      <c r="C150" s="243" t="s">
        <v>47</v>
      </c>
      <c r="D150" s="243" t="s">
        <v>48</v>
      </c>
      <c r="E150" s="243" t="s">
        <v>49</v>
      </c>
      <c r="F150" s="243" t="s">
        <v>52</v>
      </c>
      <c r="G150" s="243" t="s">
        <v>53</v>
      </c>
      <c r="H150" s="243" t="s">
        <v>91</v>
      </c>
      <c r="I150" s="243" t="s">
        <v>92</v>
      </c>
      <c r="J150" s="243" t="s">
        <v>93</v>
      </c>
      <c r="K150" s="243" t="s">
        <v>94</v>
      </c>
      <c r="L150" s="203"/>
      <c r="M150" s="73"/>
      <c r="N150" s="73"/>
    </row>
    <row r="151" spans="1:14" ht="28.5" hidden="1" customHeight="1" x14ac:dyDescent="0.2">
      <c r="A151" s="4" t="s">
        <v>646</v>
      </c>
      <c r="B151" s="243" t="s">
        <v>98</v>
      </c>
      <c r="C151" s="93"/>
      <c r="D151" s="93"/>
      <c r="E151" s="93"/>
      <c r="F151" s="191"/>
      <c r="G151" s="191"/>
      <c r="H151" s="191"/>
      <c r="I151" s="134"/>
      <c r="J151" s="134">
        <v>0</v>
      </c>
      <c r="K151" s="134">
        <v>0</v>
      </c>
      <c r="L151" s="204"/>
      <c r="M151" s="73"/>
      <c r="N151" s="73"/>
    </row>
    <row r="152" spans="1:14" ht="28.5" hidden="1" customHeight="1" x14ac:dyDescent="0.2">
      <c r="A152" s="4" t="s">
        <v>647</v>
      </c>
      <c r="B152" s="249" t="s">
        <v>99</v>
      </c>
      <c r="C152" s="93"/>
      <c r="D152" s="93"/>
      <c r="E152" s="93"/>
      <c r="F152" s="191"/>
      <c r="G152" s="191"/>
      <c r="H152" s="191"/>
      <c r="I152" s="134"/>
      <c r="J152" s="134">
        <v>0</v>
      </c>
      <c r="K152" s="134">
        <v>0</v>
      </c>
      <c r="L152" s="204"/>
      <c r="M152" s="73"/>
      <c r="N152" s="73"/>
    </row>
    <row r="153" spans="1:14" ht="12.75" hidden="1" customHeight="1" x14ac:dyDescent="0.2">
      <c r="A153" s="34" t="s">
        <v>427</v>
      </c>
      <c r="B153" s="243" t="s">
        <v>1</v>
      </c>
      <c r="C153" s="243" t="s">
        <v>1</v>
      </c>
      <c r="D153" s="243" t="s">
        <v>1</v>
      </c>
      <c r="E153" s="243" t="s">
        <v>1</v>
      </c>
      <c r="F153" s="243" t="s">
        <v>1</v>
      </c>
      <c r="G153" s="243" t="s">
        <v>1</v>
      </c>
      <c r="H153" s="243" t="s">
        <v>1</v>
      </c>
      <c r="I153" s="30">
        <f>SUM(I151:I152)</f>
        <v>0</v>
      </c>
      <c r="J153" s="30">
        <f>SUM(J151:J151)</f>
        <v>0</v>
      </c>
      <c r="K153" s="30">
        <f>SUM(K151:K151)</f>
        <v>0</v>
      </c>
      <c r="L153" s="205"/>
      <c r="M153" s="73"/>
      <c r="N153" s="73"/>
    </row>
    <row r="154" spans="1:14" ht="12.75" customHeight="1" x14ac:dyDescent="0.2">
      <c r="A154" s="132"/>
      <c r="B154" s="73"/>
      <c r="C154" s="73"/>
      <c r="D154" s="73"/>
      <c r="E154" s="73"/>
      <c r="F154" s="73"/>
      <c r="G154" s="73"/>
      <c r="H154" s="73"/>
      <c r="I154" s="138"/>
      <c r="J154" s="138"/>
      <c r="K154" s="138"/>
      <c r="L154" s="73"/>
      <c r="M154" s="73"/>
      <c r="N154" s="73"/>
    </row>
    <row r="155" spans="1:14" x14ac:dyDescent="0.2">
      <c r="A155" s="8" t="s">
        <v>644</v>
      </c>
      <c r="B155" s="85"/>
      <c r="C155" s="85"/>
      <c r="D155" s="85"/>
      <c r="E155" s="85"/>
      <c r="F155" s="85"/>
      <c r="G155" s="85"/>
      <c r="H155" s="85"/>
      <c r="I155" s="85"/>
      <c r="J155" s="85"/>
      <c r="K155" s="85"/>
      <c r="L155" s="73"/>
      <c r="M155" s="73"/>
      <c r="N155" s="73"/>
    </row>
    <row r="156" spans="1:14" hidden="1" x14ac:dyDescent="0.2">
      <c r="A156" s="8"/>
      <c r="B156" s="85"/>
      <c r="C156" s="85"/>
      <c r="D156" s="85"/>
      <c r="E156" s="85"/>
      <c r="F156" s="85"/>
      <c r="G156" s="85"/>
      <c r="H156" s="85"/>
      <c r="I156" s="85"/>
      <c r="J156" s="85"/>
      <c r="K156" s="85"/>
      <c r="L156" s="73"/>
      <c r="M156" s="73"/>
      <c r="N156" s="73"/>
    </row>
    <row r="157" spans="1:14" hidden="1" x14ac:dyDescent="0.2">
      <c r="A157" s="269" t="s">
        <v>451</v>
      </c>
      <c r="B157" s="307" t="s">
        <v>72</v>
      </c>
      <c r="C157" s="308" t="s">
        <v>207</v>
      </c>
      <c r="D157" s="308"/>
      <c r="E157" s="308"/>
      <c r="F157" s="307" t="s">
        <v>205</v>
      </c>
      <c r="G157" s="307"/>
      <c r="H157" s="307"/>
      <c r="I157" s="305" t="s">
        <v>43</v>
      </c>
      <c r="J157" s="305"/>
      <c r="K157" s="305"/>
      <c r="L157" s="73"/>
      <c r="M157" s="73"/>
      <c r="N157" s="73"/>
    </row>
    <row r="158" spans="1:14" hidden="1" x14ac:dyDescent="0.2">
      <c r="A158" s="269"/>
      <c r="B158" s="307"/>
      <c r="C158" s="253" t="s">
        <v>399</v>
      </c>
      <c r="D158" s="253" t="s">
        <v>611</v>
      </c>
      <c r="E158" s="253" t="s">
        <v>650</v>
      </c>
      <c r="F158" s="253" t="s">
        <v>399</v>
      </c>
      <c r="G158" s="253" t="s">
        <v>611</v>
      </c>
      <c r="H158" s="253" t="s">
        <v>650</v>
      </c>
      <c r="I158" s="253" t="s">
        <v>399</v>
      </c>
      <c r="J158" s="253" t="s">
        <v>611</v>
      </c>
      <c r="K158" s="253" t="s">
        <v>650</v>
      </c>
      <c r="L158" s="73"/>
      <c r="M158" s="73"/>
      <c r="N158" s="73"/>
    </row>
    <row r="159" spans="1:14" ht="38.25" hidden="1" x14ac:dyDescent="0.2">
      <c r="A159" s="269"/>
      <c r="B159" s="307"/>
      <c r="C159" s="49" t="s">
        <v>44</v>
      </c>
      <c r="D159" s="50" t="s">
        <v>45</v>
      </c>
      <c r="E159" s="50" t="s">
        <v>46</v>
      </c>
      <c r="F159" s="49" t="s">
        <v>44</v>
      </c>
      <c r="G159" s="50" t="s">
        <v>45</v>
      </c>
      <c r="H159" s="50" t="s">
        <v>46</v>
      </c>
      <c r="I159" s="49" t="s">
        <v>44</v>
      </c>
      <c r="J159" s="50" t="s">
        <v>45</v>
      </c>
      <c r="K159" s="50" t="s">
        <v>46</v>
      </c>
      <c r="L159" s="73"/>
      <c r="M159" s="73"/>
      <c r="N159" s="73"/>
    </row>
    <row r="160" spans="1:14" hidden="1" x14ac:dyDescent="0.2">
      <c r="A160" s="51" t="s">
        <v>190</v>
      </c>
      <c r="B160" s="48" t="s">
        <v>73</v>
      </c>
      <c r="C160" s="48" t="s">
        <v>47</v>
      </c>
      <c r="D160" s="48" t="s">
        <v>48</v>
      </c>
      <c r="E160" s="48" t="s">
        <v>49</v>
      </c>
      <c r="F160" s="48" t="s">
        <v>52</v>
      </c>
      <c r="G160" s="48" t="s">
        <v>53</v>
      </c>
      <c r="H160" s="48" t="s">
        <v>91</v>
      </c>
      <c r="I160" s="48" t="s">
        <v>92</v>
      </c>
      <c r="J160" s="48" t="s">
        <v>93</v>
      </c>
      <c r="K160" s="48" t="s">
        <v>94</v>
      </c>
      <c r="L160" s="73"/>
      <c r="M160" s="73"/>
      <c r="N160" s="73"/>
    </row>
    <row r="161" spans="1:14" ht="27.75" hidden="1" customHeight="1" x14ac:dyDescent="0.2">
      <c r="A161" s="4" t="s">
        <v>648</v>
      </c>
      <c r="B161" s="48" t="s">
        <v>98</v>
      </c>
      <c r="C161" s="93"/>
      <c r="D161" s="93"/>
      <c r="E161" s="93"/>
      <c r="F161" s="111"/>
      <c r="G161" s="111"/>
      <c r="H161" s="111"/>
      <c r="I161" s="111"/>
      <c r="J161" s="111">
        <f t="shared" ref="J161" si="22">D161*G161</f>
        <v>0</v>
      </c>
      <c r="K161" s="111">
        <f t="shared" ref="K161" si="23">E161*H161</f>
        <v>0</v>
      </c>
      <c r="L161" s="73"/>
      <c r="M161" s="73"/>
      <c r="N161" s="73"/>
    </row>
    <row r="162" spans="1:14" hidden="1" x14ac:dyDescent="0.2">
      <c r="A162" s="51" t="s">
        <v>427</v>
      </c>
      <c r="B162" s="48" t="s">
        <v>1</v>
      </c>
      <c r="C162" s="111" t="s">
        <v>1</v>
      </c>
      <c r="D162" s="111" t="s">
        <v>1</v>
      </c>
      <c r="E162" s="111" t="s">
        <v>1</v>
      </c>
      <c r="F162" s="111" t="s">
        <v>1</v>
      </c>
      <c r="G162" s="111" t="s">
        <v>1</v>
      </c>
      <c r="H162" s="111" t="s">
        <v>1</v>
      </c>
      <c r="I162" s="30">
        <f>SUM(I161:I161)</f>
        <v>0</v>
      </c>
      <c r="J162" s="30">
        <f>SUM(J161:J161)</f>
        <v>0</v>
      </c>
      <c r="K162" s="30">
        <f>SUM(K161:K161)</f>
        <v>0</v>
      </c>
      <c r="L162" s="73"/>
      <c r="M162" s="73"/>
      <c r="N162" s="73"/>
    </row>
  </sheetData>
  <mergeCells count="84">
    <mergeCell ref="A145:N145"/>
    <mergeCell ref="A147:A149"/>
    <mergeCell ref="B147:B149"/>
    <mergeCell ref="C147:E147"/>
    <mergeCell ref="F147:H147"/>
    <mergeCell ref="I147:K147"/>
    <mergeCell ref="L147:L149"/>
    <mergeCell ref="L65:L67"/>
    <mergeCell ref="A110:A112"/>
    <mergeCell ref="B110:B112"/>
    <mergeCell ref="C110:E110"/>
    <mergeCell ref="F110:H110"/>
    <mergeCell ref="A84:A86"/>
    <mergeCell ref="B84:B86"/>
    <mergeCell ref="C84:E84"/>
    <mergeCell ref="F84:H84"/>
    <mergeCell ref="A99:N99"/>
    <mergeCell ref="A101:A103"/>
    <mergeCell ref="B101:B103"/>
    <mergeCell ref="C101:E101"/>
    <mergeCell ref="F101:H101"/>
    <mergeCell ref="I101:K101"/>
    <mergeCell ref="A65:A67"/>
    <mergeCell ref="A2:N2"/>
    <mergeCell ref="I110:K110"/>
    <mergeCell ref="A120:A122"/>
    <mergeCell ref="B120:B122"/>
    <mergeCell ref="C120:E120"/>
    <mergeCell ref="F120:H120"/>
    <mergeCell ref="I120:K120"/>
    <mergeCell ref="I84:K84"/>
    <mergeCell ref="L75:N75"/>
    <mergeCell ref="A42:A44"/>
    <mergeCell ref="B42:B44"/>
    <mergeCell ref="C42:E42"/>
    <mergeCell ref="F42:H42"/>
    <mergeCell ref="I42:K42"/>
    <mergeCell ref="A51:A53"/>
    <mergeCell ref="B51:B53"/>
    <mergeCell ref="B65:B67"/>
    <mergeCell ref="C65:E65"/>
    <mergeCell ref="F65:H65"/>
    <mergeCell ref="I65:K65"/>
    <mergeCell ref="A75:A77"/>
    <mergeCell ref="B75:B77"/>
    <mergeCell ref="C75:E75"/>
    <mergeCell ref="F75:H75"/>
    <mergeCell ref="I75:K75"/>
    <mergeCell ref="L33:N33"/>
    <mergeCell ref="A6:A8"/>
    <mergeCell ref="B6:B8"/>
    <mergeCell ref="C6:E6"/>
    <mergeCell ref="B13:B14"/>
    <mergeCell ref="C13:C14"/>
    <mergeCell ref="D13:D14"/>
    <mergeCell ref="E13:E14"/>
    <mergeCell ref="A33:A35"/>
    <mergeCell ref="B33:B35"/>
    <mergeCell ref="C33:E33"/>
    <mergeCell ref="F33:H33"/>
    <mergeCell ref="I33:K33"/>
    <mergeCell ref="L51:L53"/>
    <mergeCell ref="L84:L86"/>
    <mergeCell ref="L110:L112"/>
    <mergeCell ref="A157:A159"/>
    <mergeCell ref="B157:B159"/>
    <mergeCell ref="C157:E157"/>
    <mergeCell ref="F157:H157"/>
    <mergeCell ref="I157:K157"/>
    <mergeCell ref="A129:A131"/>
    <mergeCell ref="B129:B131"/>
    <mergeCell ref="C129:E129"/>
    <mergeCell ref="F129:H129"/>
    <mergeCell ref="I129:K129"/>
    <mergeCell ref="C51:E51"/>
    <mergeCell ref="F51:H51"/>
    <mergeCell ref="I51:K51"/>
    <mergeCell ref="A136:N136"/>
    <mergeCell ref="A138:A140"/>
    <mergeCell ref="B138:B140"/>
    <mergeCell ref="C138:E138"/>
    <mergeCell ref="F138:H138"/>
    <mergeCell ref="I138:K138"/>
    <mergeCell ref="L138:L140"/>
  </mergeCells>
  <pageMargins left="0.70866141732283472" right="0.70866141732283472" top="0.74803149606299213" bottom="0.74803149606299213" header="0.31496062992125984" footer="0.31496062992125984"/>
  <pageSetup paperSize="9" scale="75" fitToHeight="0" orientation="landscape" horizontalDpi="300" verticalDpi="300" r:id="rId1"/>
  <rowBreaks count="3" manualBreakCount="3">
    <brk id="24" max="13" man="1"/>
    <brk id="48" max="13" man="1"/>
    <brk id="89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00B0F0"/>
  </sheetPr>
  <dimension ref="A1:V197"/>
  <sheetViews>
    <sheetView view="pageBreakPreview" topLeftCell="A31" zoomScaleSheetLayoutView="100" workbookViewId="0">
      <selection activeCell="A138" sqref="A138:N138"/>
    </sheetView>
  </sheetViews>
  <sheetFormatPr defaultRowHeight="12.75" x14ac:dyDescent="0.2"/>
  <cols>
    <col min="1" max="1" width="32" style="35" customWidth="1"/>
    <col min="2" max="2" width="9" customWidth="1"/>
    <col min="3" max="3" width="12.28515625" customWidth="1"/>
    <col min="4" max="4" width="11.28515625" customWidth="1"/>
    <col min="5" max="5" width="11.85546875" customWidth="1"/>
    <col min="6" max="6" width="12.5703125" customWidth="1"/>
    <col min="7" max="7" width="11" customWidth="1"/>
    <col min="8" max="8" width="10.5703125" customWidth="1"/>
    <col min="9" max="9" width="11.5703125" customWidth="1"/>
    <col min="10" max="10" width="12.42578125" customWidth="1"/>
    <col min="11" max="11" width="12" customWidth="1"/>
    <col min="12" max="12" width="11.42578125" customWidth="1"/>
    <col min="13" max="13" width="11.28515625" customWidth="1"/>
    <col min="14" max="14" width="11.42578125" customWidth="1"/>
  </cols>
  <sheetData>
    <row r="1" spans="1:22" s="1" customFormat="1" ht="28.5" customHeight="1" x14ac:dyDescent="0.25">
      <c r="A1" s="350" t="s">
        <v>524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11"/>
      <c r="P1" s="11"/>
      <c r="Q1" s="11"/>
      <c r="R1" s="11"/>
      <c r="S1" s="11"/>
      <c r="T1" s="11"/>
      <c r="U1" s="11"/>
      <c r="V1" s="11"/>
    </row>
    <row r="2" spans="1:22" s="1" customFormat="1" ht="14.25" customHeight="1" x14ac:dyDescent="0.25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1"/>
      <c r="P2" s="11"/>
      <c r="Q2" s="11"/>
      <c r="R2" s="11"/>
      <c r="S2" s="11"/>
      <c r="T2" s="11"/>
      <c r="U2" s="11"/>
      <c r="V2" s="11"/>
    </row>
    <row r="3" spans="1:22" s="1" customFormat="1" ht="20.25" customHeight="1" x14ac:dyDescent="0.25">
      <c r="A3" s="348" t="s">
        <v>398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11"/>
      <c r="P3" s="11"/>
      <c r="Q3" s="11"/>
      <c r="R3" s="11"/>
      <c r="S3" s="11"/>
      <c r="T3" s="11"/>
      <c r="U3" s="11"/>
      <c r="V3" s="11"/>
    </row>
    <row r="4" spans="1:22" s="1" customFormat="1" ht="14.25" customHeight="1" x14ac:dyDescent="0.25">
      <c r="A4" s="33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11"/>
      <c r="P4" s="11"/>
      <c r="Q4" s="11"/>
      <c r="R4" s="11"/>
      <c r="S4" s="11"/>
      <c r="T4" s="11"/>
      <c r="U4" s="11"/>
      <c r="V4" s="11"/>
    </row>
    <row r="5" spans="1:22" s="1" customFormat="1" ht="15.75" x14ac:dyDescent="0.25">
      <c r="A5" s="298" t="s">
        <v>193</v>
      </c>
      <c r="B5" s="307" t="s">
        <v>72</v>
      </c>
      <c r="C5" s="306" t="s">
        <v>43</v>
      </c>
      <c r="D5" s="306"/>
      <c r="E5" s="306"/>
      <c r="F5" s="85"/>
      <c r="G5" s="85"/>
      <c r="H5" s="85"/>
      <c r="I5" s="85"/>
      <c r="J5" s="85"/>
      <c r="K5" s="85"/>
      <c r="L5" s="85"/>
      <c r="M5" s="85"/>
      <c r="N5" s="85"/>
      <c r="O5" s="11"/>
      <c r="P5" s="11"/>
      <c r="Q5" s="11"/>
      <c r="R5" s="11"/>
      <c r="S5" s="11"/>
      <c r="T5" s="11"/>
      <c r="U5" s="11"/>
      <c r="V5" s="11"/>
    </row>
    <row r="6" spans="1:22" s="1" customFormat="1" ht="15.75" x14ac:dyDescent="0.25">
      <c r="A6" s="298"/>
      <c r="B6" s="307"/>
      <c r="C6" s="115" t="s">
        <v>399</v>
      </c>
      <c r="D6" s="115" t="s">
        <v>611</v>
      </c>
      <c r="E6" s="115" t="s">
        <v>650</v>
      </c>
      <c r="F6" s="85"/>
      <c r="G6" s="85"/>
      <c r="H6" s="85"/>
      <c r="I6" s="85"/>
      <c r="J6" s="85"/>
      <c r="K6" s="85"/>
      <c r="L6" s="85"/>
      <c r="M6" s="85"/>
      <c r="N6" s="85"/>
      <c r="O6" s="11"/>
      <c r="P6" s="11"/>
      <c r="Q6" s="11"/>
      <c r="R6" s="11"/>
      <c r="S6" s="11"/>
      <c r="T6" s="11"/>
      <c r="U6" s="11"/>
      <c r="V6" s="11"/>
    </row>
    <row r="7" spans="1:22" s="1" customFormat="1" ht="38.25" x14ac:dyDescent="0.25">
      <c r="A7" s="298"/>
      <c r="B7" s="307"/>
      <c r="C7" s="122" t="s">
        <v>44</v>
      </c>
      <c r="D7" s="122" t="s">
        <v>45</v>
      </c>
      <c r="E7" s="122" t="s">
        <v>46</v>
      </c>
      <c r="F7" s="85"/>
      <c r="G7" s="85"/>
      <c r="H7" s="85"/>
      <c r="I7" s="85"/>
      <c r="J7" s="85"/>
      <c r="K7" s="85"/>
      <c r="L7" s="85"/>
      <c r="M7" s="85"/>
      <c r="N7" s="85"/>
      <c r="O7" s="11"/>
      <c r="P7" s="11"/>
      <c r="Q7" s="11"/>
      <c r="R7" s="11"/>
      <c r="S7" s="11"/>
      <c r="T7" s="11"/>
      <c r="U7" s="11"/>
      <c r="V7" s="11"/>
    </row>
    <row r="8" spans="1:22" s="1" customFormat="1" ht="15.75" x14ac:dyDescent="0.25">
      <c r="A8" s="34" t="s">
        <v>190</v>
      </c>
      <c r="B8" s="115" t="s">
        <v>73</v>
      </c>
      <c r="C8" s="115" t="s">
        <v>47</v>
      </c>
      <c r="D8" s="115" t="s">
        <v>48</v>
      </c>
      <c r="E8" s="115" t="s">
        <v>49</v>
      </c>
      <c r="F8" s="85"/>
      <c r="G8" s="85"/>
      <c r="H8" s="85"/>
      <c r="I8" s="85"/>
      <c r="J8" s="85"/>
      <c r="K8" s="85"/>
      <c r="L8" s="85"/>
      <c r="M8" s="85"/>
      <c r="N8" s="85"/>
      <c r="O8" s="11"/>
      <c r="P8" s="11"/>
      <c r="Q8" s="11"/>
      <c r="R8" s="11"/>
      <c r="S8" s="11"/>
      <c r="T8" s="11"/>
      <c r="U8" s="11"/>
      <c r="V8" s="11"/>
    </row>
    <row r="9" spans="1:22" s="1" customFormat="1" ht="80.25" customHeight="1" x14ac:dyDescent="0.25">
      <c r="A9" s="4" t="s">
        <v>471</v>
      </c>
      <c r="B9" s="115" t="s">
        <v>74</v>
      </c>
      <c r="C9" s="222">
        <v>0</v>
      </c>
      <c r="D9" s="222">
        <v>0</v>
      </c>
      <c r="E9" s="222">
        <v>0</v>
      </c>
      <c r="F9" s="85"/>
      <c r="G9" s="85"/>
      <c r="H9" s="85"/>
      <c r="I9" s="85"/>
      <c r="J9" s="85"/>
      <c r="K9" s="85"/>
      <c r="L9" s="85"/>
      <c r="M9" s="85"/>
      <c r="N9" s="85"/>
      <c r="O9" s="11"/>
      <c r="P9" s="11"/>
      <c r="Q9" s="11"/>
      <c r="R9" s="11"/>
      <c r="S9" s="11"/>
      <c r="T9" s="11"/>
      <c r="U9" s="11"/>
      <c r="V9" s="11"/>
    </row>
    <row r="10" spans="1:22" s="1" customFormat="1" ht="55.5" customHeight="1" x14ac:dyDescent="0.25">
      <c r="A10" s="4" t="s">
        <v>472</v>
      </c>
      <c r="B10" s="115" t="s">
        <v>75</v>
      </c>
      <c r="C10" s="222">
        <v>0</v>
      </c>
      <c r="D10" s="222">
        <v>0</v>
      </c>
      <c r="E10" s="222">
        <v>0</v>
      </c>
      <c r="F10" s="85"/>
      <c r="G10" s="85"/>
      <c r="H10" s="85"/>
      <c r="I10" s="85"/>
      <c r="J10" s="85"/>
      <c r="K10" s="85"/>
      <c r="L10" s="85"/>
      <c r="M10" s="85"/>
      <c r="N10" s="85"/>
      <c r="O10" s="11"/>
      <c r="P10" s="11"/>
      <c r="Q10" s="11"/>
      <c r="R10" s="11"/>
      <c r="S10" s="11"/>
      <c r="T10" s="11"/>
      <c r="U10" s="11"/>
      <c r="V10" s="11"/>
    </row>
    <row r="11" spans="1:22" s="1" customFormat="1" ht="27.75" customHeight="1" x14ac:dyDescent="0.25">
      <c r="A11" s="4" t="s">
        <v>473</v>
      </c>
      <c r="B11" s="115" t="s">
        <v>76</v>
      </c>
      <c r="C11" s="108">
        <f>C12+C14+C15+C16+C17+C18+C19+C20+C21+C22</f>
        <v>2872200.0013600001</v>
      </c>
      <c r="D11" s="108">
        <f t="shared" ref="D11:E11" si="0">D12+D14+D15+D16+D17+D18+D19+D20+D21+D22</f>
        <v>2872200.0013600001</v>
      </c>
      <c r="E11" s="108">
        <f t="shared" si="0"/>
        <v>2872200.0013600001</v>
      </c>
      <c r="F11" s="85"/>
      <c r="G11" s="85"/>
      <c r="H11" s="85"/>
      <c r="I11" s="85"/>
      <c r="J11" s="85"/>
      <c r="K11" s="85"/>
      <c r="L11" s="85"/>
      <c r="M11" s="85"/>
      <c r="N11" s="85"/>
      <c r="O11" s="11"/>
      <c r="P11" s="11"/>
      <c r="Q11" s="11"/>
      <c r="R11" s="11"/>
      <c r="S11" s="11"/>
      <c r="T11" s="11"/>
      <c r="U11" s="11"/>
      <c r="V11" s="11"/>
    </row>
    <row r="12" spans="1:22" s="1" customFormat="1" ht="15.75" x14ac:dyDescent="0.25">
      <c r="A12" s="123" t="s">
        <v>109</v>
      </c>
      <c r="B12" s="275" t="s">
        <v>133</v>
      </c>
      <c r="C12" s="346">
        <f>L44+O44</f>
        <v>50104</v>
      </c>
      <c r="D12" s="346">
        <f t="shared" ref="D12:E12" si="1">M44</f>
        <v>50104</v>
      </c>
      <c r="E12" s="346">
        <f t="shared" si="1"/>
        <v>50104</v>
      </c>
      <c r="F12" s="85"/>
      <c r="G12" s="85"/>
      <c r="H12" s="85"/>
      <c r="I12" s="85"/>
      <c r="J12" s="85"/>
      <c r="K12" s="85"/>
      <c r="L12" s="85"/>
      <c r="M12" s="85"/>
      <c r="N12" s="85"/>
      <c r="O12" s="11"/>
      <c r="P12" s="11"/>
      <c r="Q12" s="11"/>
      <c r="R12" s="11"/>
      <c r="S12" s="11"/>
      <c r="T12" s="11"/>
      <c r="U12" s="11"/>
      <c r="V12" s="11"/>
    </row>
    <row r="13" spans="1:22" s="1" customFormat="1" ht="15.75" x14ac:dyDescent="0.25">
      <c r="A13" s="123" t="s">
        <v>329</v>
      </c>
      <c r="B13" s="275"/>
      <c r="C13" s="346"/>
      <c r="D13" s="346"/>
      <c r="E13" s="346"/>
      <c r="F13" s="85"/>
      <c r="G13" s="85"/>
      <c r="H13" s="85"/>
      <c r="I13" s="85"/>
      <c r="J13" s="85"/>
      <c r="K13" s="85"/>
      <c r="L13" s="85"/>
      <c r="M13" s="85"/>
      <c r="N13" s="85"/>
      <c r="O13" s="11"/>
      <c r="P13" s="11"/>
      <c r="Q13" s="11"/>
      <c r="R13" s="11"/>
      <c r="S13" s="11"/>
      <c r="T13" s="11"/>
      <c r="U13" s="11"/>
      <c r="V13" s="11"/>
    </row>
    <row r="14" spans="1:22" s="1" customFormat="1" ht="15.75" x14ac:dyDescent="0.25">
      <c r="A14" s="123" t="s">
        <v>337</v>
      </c>
      <c r="B14" s="115" t="s">
        <v>134</v>
      </c>
      <c r="C14" s="222">
        <f>I53</f>
        <v>75000</v>
      </c>
      <c r="D14" s="222">
        <f t="shared" ref="D14:E14" si="2">J53</f>
        <v>75000</v>
      </c>
      <c r="E14" s="222">
        <f t="shared" si="2"/>
        <v>75000</v>
      </c>
      <c r="F14" s="85"/>
      <c r="G14" s="85"/>
      <c r="H14" s="85"/>
      <c r="I14" s="85"/>
      <c r="J14" s="85"/>
      <c r="K14" s="85"/>
      <c r="L14" s="85"/>
      <c r="M14" s="85"/>
      <c r="N14" s="85"/>
      <c r="O14" s="11"/>
      <c r="P14" s="11"/>
      <c r="Q14" s="11"/>
      <c r="R14" s="11"/>
      <c r="S14" s="11"/>
      <c r="T14" s="11"/>
      <c r="U14" s="11"/>
      <c r="V14" s="11"/>
    </row>
    <row r="15" spans="1:22" s="1" customFormat="1" ht="15.75" x14ac:dyDescent="0.25">
      <c r="A15" s="123" t="s">
        <v>484</v>
      </c>
      <c r="B15" s="115" t="s">
        <v>135</v>
      </c>
      <c r="C15" s="222">
        <f>I62+L62</f>
        <v>369238.00136000005</v>
      </c>
      <c r="D15" s="222">
        <f t="shared" ref="D15:E15" si="3">J62</f>
        <v>369238.00136000005</v>
      </c>
      <c r="E15" s="222">
        <f t="shared" si="3"/>
        <v>369238.00136000005</v>
      </c>
      <c r="F15" s="85"/>
      <c r="G15" s="85"/>
      <c r="H15" s="85"/>
      <c r="I15" s="85"/>
      <c r="J15" s="85"/>
      <c r="K15" s="85"/>
      <c r="L15" s="85"/>
      <c r="M15" s="85"/>
      <c r="N15" s="85"/>
      <c r="O15" s="11"/>
      <c r="P15" s="11"/>
      <c r="Q15" s="11"/>
      <c r="R15" s="11"/>
      <c r="S15" s="11"/>
      <c r="T15" s="11"/>
      <c r="U15" s="11"/>
      <c r="V15" s="11"/>
    </row>
    <row r="16" spans="1:22" s="1" customFormat="1" ht="15.75" x14ac:dyDescent="0.25">
      <c r="A16" s="123" t="s">
        <v>477</v>
      </c>
      <c r="B16" s="115" t="s">
        <v>136</v>
      </c>
      <c r="C16" s="222">
        <f>0</f>
        <v>0</v>
      </c>
      <c r="D16" s="222">
        <f>0</f>
        <v>0</v>
      </c>
      <c r="E16" s="222">
        <f>0</f>
        <v>0</v>
      </c>
      <c r="F16" s="85"/>
      <c r="G16" s="85"/>
      <c r="H16" s="85"/>
      <c r="I16" s="85"/>
      <c r="J16" s="85"/>
      <c r="K16" s="85"/>
      <c r="L16" s="85"/>
      <c r="M16" s="85"/>
      <c r="N16" s="85"/>
      <c r="O16" s="11"/>
      <c r="P16" s="11"/>
      <c r="Q16" s="11"/>
      <c r="R16" s="11"/>
      <c r="S16" s="11"/>
      <c r="T16" s="11"/>
      <c r="U16" s="11"/>
      <c r="V16" s="11"/>
    </row>
    <row r="17" spans="1:22" s="1" customFormat="1" ht="15.75" x14ac:dyDescent="0.25">
      <c r="A17" s="123" t="s">
        <v>478</v>
      </c>
      <c r="B17" s="115" t="s">
        <v>137</v>
      </c>
      <c r="C17" s="222">
        <f>I90</f>
        <v>273008</v>
      </c>
      <c r="D17" s="222">
        <f t="shared" ref="D17:E17" si="4">J90</f>
        <v>273008</v>
      </c>
      <c r="E17" s="222">
        <f t="shared" si="4"/>
        <v>273008</v>
      </c>
      <c r="F17" s="85"/>
      <c r="G17" s="85"/>
      <c r="H17" s="85"/>
      <c r="I17" s="85"/>
      <c r="J17" s="85"/>
      <c r="K17" s="85"/>
      <c r="L17" s="85"/>
      <c r="M17" s="85"/>
      <c r="N17" s="85"/>
      <c r="O17" s="11"/>
      <c r="P17" s="11"/>
      <c r="Q17" s="11"/>
      <c r="R17" s="11"/>
      <c r="S17" s="11"/>
      <c r="T17" s="11"/>
      <c r="U17" s="11"/>
      <c r="V17" s="11"/>
    </row>
    <row r="18" spans="1:22" s="1" customFormat="1" ht="15.75" x14ac:dyDescent="0.25">
      <c r="A18" s="123" t="s">
        <v>323</v>
      </c>
      <c r="B18" s="115" t="s">
        <v>138</v>
      </c>
      <c r="C18" s="222">
        <f>0</f>
        <v>0</v>
      </c>
      <c r="D18" s="222">
        <f>0</f>
        <v>0</v>
      </c>
      <c r="E18" s="222">
        <f>0</f>
        <v>0</v>
      </c>
      <c r="F18" s="85"/>
      <c r="G18" s="85"/>
      <c r="H18" s="85"/>
      <c r="I18" s="85"/>
      <c r="J18" s="85"/>
      <c r="K18" s="85"/>
      <c r="L18" s="85"/>
      <c r="M18" s="85"/>
      <c r="N18" s="85"/>
      <c r="O18" s="11"/>
      <c r="P18" s="11"/>
      <c r="Q18" s="11"/>
      <c r="R18" s="11"/>
      <c r="S18" s="11"/>
      <c r="T18" s="11"/>
      <c r="U18" s="11"/>
      <c r="V18" s="11"/>
    </row>
    <row r="19" spans="1:22" s="1" customFormat="1" ht="39.75" customHeight="1" x14ac:dyDescent="0.25">
      <c r="A19" s="4" t="s">
        <v>479</v>
      </c>
      <c r="B19" s="115" t="s">
        <v>139</v>
      </c>
      <c r="C19" s="222">
        <f>I99</f>
        <v>18000</v>
      </c>
      <c r="D19" s="258">
        <f t="shared" ref="D19:E19" si="5">J99</f>
        <v>18000</v>
      </c>
      <c r="E19" s="258">
        <f t="shared" si="5"/>
        <v>18000</v>
      </c>
      <c r="F19" s="85"/>
      <c r="G19" s="85"/>
      <c r="H19" s="85"/>
      <c r="I19" s="85"/>
      <c r="J19" s="85"/>
      <c r="K19" s="85"/>
      <c r="L19" s="85"/>
      <c r="M19" s="85"/>
      <c r="N19" s="85"/>
      <c r="O19" s="11"/>
      <c r="P19" s="11"/>
      <c r="Q19" s="11"/>
      <c r="R19" s="11"/>
      <c r="S19" s="11"/>
      <c r="T19" s="11"/>
      <c r="U19" s="11"/>
      <c r="V19" s="11"/>
    </row>
    <row r="20" spans="1:22" s="1" customFormat="1" ht="78" customHeight="1" x14ac:dyDescent="0.25">
      <c r="A20" s="4" t="s">
        <v>480</v>
      </c>
      <c r="B20" s="115" t="s">
        <v>140</v>
      </c>
      <c r="C20" s="222">
        <f>I123+L123</f>
        <v>1627345</v>
      </c>
      <c r="D20" s="222">
        <f t="shared" ref="D20:E20" si="6">J123</f>
        <v>1627345</v>
      </c>
      <c r="E20" s="222">
        <f t="shared" si="6"/>
        <v>1627345</v>
      </c>
      <c r="F20" s="85"/>
      <c r="G20" s="85"/>
      <c r="H20" s="85"/>
      <c r="I20" s="85"/>
      <c r="J20" s="85"/>
      <c r="K20" s="85"/>
      <c r="L20" s="85"/>
      <c r="M20" s="85"/>
      <c r="N20" s="85"/>
      <c r="O20" s="11"/>
      <c r="P20" s="11"/>
      <c r="Q20" s="11"/>
      <c r="R20" s="11"/>
      <c r="S20" s="11"/>
      <c r="T20" s="11"/>
      <c r="U20" s="11"/>
      <c r="V20" s="11"/>
    </row>
    <row r="21" spans="1:22" s="1" customFormat="1" ht="30.75" customHeight="1" x14ac:dyDescent="0.25">
      <c r="A21" s="4" t="s">
        <v>324</v>
      </c>
      <c r="B21" s="115" t="s">
        <v>141</v>
      </c>
      <c r="C21" s="222">
        <f>I134+L134</f>
        <v>0</v>
      </c>
      <c r="D21" s="222">
        <f t="shared" ref="D21:E21" si="7">J134</f>
        <v>0</v>
      </c>
      <c r="E21" s="222">
        <f t="shared" si="7"/>
        <v>0</v>
      </c>
      <c r="F21" s="85"/>
      <c r="G21" s="85"/>
      <c r="H21" s="85"/>
      <c r="I21" s="85"/>
      <c r="J21" s="85"/>
      <c r="K21" s="85"/>
      <c r="L21" s="85"/>
      <c r="M21" s="85"/>
      <c r="N21" s="85"/>
      <c r="O21" s="11"/>
      <c r="P21" s="11"/>
      <c r="Q21" s="11"/>
      <c r="R21" s="11"/>
      <c r="S21" s="11"/>
      <c r="T21" s="11"/>
      <c r="U21" s="11"/>
      <c r="V21" s="11"/>
    </row>
    <row r="22" spans="1:22" s="1" customFormat="1" ht="27.75" customHeight="1" x14ac:dyDescent="0.25">
      <c r="A22" s="4" t="s">
        <v>525</v>
      </c>
      <c r="B22" s="115" t="s">
        <v>77</v>
      </c>
      <c r="C22" s="222">
        <f>SUM(C23:C29)</f>
        <v>459505</v>
      </c>
      <c r="D22" s="222">
        <f t="shared" ref="D22:E22" si="8">SUM(D23:D29)</f>
        <v>459505</v>
      </c>
      <c r="E22" s="222">
        <f t="shared" si="8"/>
        <v>459505</v>
      </c>
      <c r="F22" s="85"/>
      <c r="G22" s="85"/>
      <c r="H22" s="85"/>
      <c r="I22" s="85"/>
      <c r="J22" s="85"/>
      <c r="K22" s="85"/>
      <c r="L22" s="85"/>
      <c r="M22" s="85"/>
      <c r="N22" s="85"/>
      <c r="O22" s="11"/>
      <c r="P22" s="11"/>
      <c r="Q22" s="11"/>
      <c r="R22" s="11"/>
      <c r="S22" s="11"/>
      <c r="T22" s="11"/>
      <c r="U22" s="11"/>
      <c r="V22" s="11"/>
    </row>
    <row r="23" spans="1:22" s="1" customFormat="1" ht="54" customHeight="1" x14ac:dyDescent="0.25">
      <c r="A23" s="4" t="s">
        <v>536</v>
      </c>
      <c r="B23" s="96" t="s">
        <v>485</v>
      </c>
      <c r="C23" s="222">
        <v>0</v>
      </c>
      <c r="D23" s="222">
        <v>0</v>
      </c>
      <c r="E23" s="222">
        <v>0</v>
      </c>
      <c r="F23" s="85"/>
      <c r="G23" s="85"/>
      <c r="H23" s="85"/>
      <c r="I23" s="85"/>
      <c r="J23" s="85"/>
      <c r="K23" s="85"/>
      <c r="L23" s="85"/>
      <c r="M23" s="85"/>
      <c r="N23" s="85"/>
      <c r="O23" s="11"/>
      <c r="P23" s="11"/>
      <c r="Q23" s="11"/>
      <c r="R23" s="11"/>
      <c r="S23" s="11"/>
      <c r="T23" s="11"/>
      <c r="U23" s="11"/>
      <c r="V23" s="11"/>
    </row>
    <row r="24" spans="1:22" s="1" customFormat="1" ht="27.75" customHeight="1" x14ac:dyDescent="0.25">
      <c r="A24" s="4" t="s">
        <v>325</v>
      </c>
      <c r="B24" s="96" t="s">
        <v>537</v>
      </c>
      <c r="C24" s="222">
        <v>0</v>
      </c>
      <c r="D24" s="222">
        <v>0</v>
      </c>
      <c r="E24" s="222">
        <v>0</v>
      </c>
      <c r="F24" s="85"/>
      <c r="G24" s="85"/>
      <c r="H24" s="85"/>
      <c r="I24" s="85"/>
      <c r="J24" s="85"/>
      <c r="K24" s="85"/>
      <c r="L24" s="85"/>
      <c r="M24" s="85"/>
      <c r="N24" s="85"/>
      <c r="O24" s="11"/>
      <c r="P24" s="11"/>
      <c r="Q24" s="11"/>
      <c r="R24" s="11"/>
      <c r="S24" s="11"/>
      <c r="T24" s="11"/>
      <c r="U24" s="11"/>
      <c r="V24" s="11"/>
    </row>
    <row r="25" spans="1:22" s="1" customFormat="1" ht="27.75" customHeight="1" x14ac:dyDescent="0.25">
      <c r="A25" s="4" t="s">
        <v>326</v>
      </c>
      <c r="B25" s="96" t="s">
        <v>538</v>
      </c>
      <c r="C25" s="222">
        <f>I154+L154</f>
        <v>200000</v>
      </c>
      <c r="D25" s="222">
        <f>J154</f>
        <v>200000</v>
      </c>
      <c r="E25" s="222">
        <f>K154</f>
        <v>200000</v>
      </c>
      <c r="F25" s="85"/>
      <c r="G25" s="85"/>
      <c r="H25" s="85"/>
      <c r="I25" s="85"/>
      <c r="J25" s="85"/>
      <c r="K25" s="85"/>
      <c r="L25" s="85"/>
      <c r="M25" s="85"/>
      <c r="N25" s="85"/>
      <c r="O25" s="11"/>
      <c r="P25" s="11"/>
      <c r="Q25" s="11"/>
      <c r="R25" s="11"/>
      <c r="S25" s="11"/>
      <c r="T25" s="11"/>
      <c r="U25" s="11"/>
      <c r="V25" s="11"/>
    </row>
    <row r="26" spans="1:22" s="1" customFormat="1" ht="27.75" customHeight="1" x14ac:dyDescent="0.25">
      <c r="A26" s="4" t="s">
        <v>327</v>
      </c>
      <c r="B26" s="96" t="s">
        <v>539</v>
      </c>
      <c r="C26" s="222">
        <v>0</v>
      </c>
      <c r="D26" s="222">
        <v>0</v>
      </c>
      <c r="E26" s="222">
        <v>0</v>
      </c>
      <c r="F26" s="85"/>
      <c r="G26" s="85"/>
      <c r="H26" s="85"/>
      <c r="I26" s="85"/>
      <c r="J26" s="85"/>
      <c r="K26" s="85"/>
      <c r="L26" s="85"/>
      <c r="M26" s="85"/>
      <c r="N26" s="85"/>
      <c r="O26" s="11"/>
      <c r="P26" s="11"/>
      <c r="Q26" s="11"/>
      <c r="R26" s="11"/>
      <c r="S26" s="11"/>
      <c r="T26" s="11"/>
      <c r="U26" s="11"/>
      <c r="V26" s="11"/>
    </row>
    <row r="27" spans="1:22" s="1" customFormat="1" ht="27.75" customHeight="1" x14ac:dyDescent="0.25">
      <c r="A27" s="4" t="s">
        <v>353</v>
      </c>
      <c r="B27" s="96" t="s">
        <v>540</v>
      </c>
      <c r="C27" s="222">
        <f>I172</f>
        <v>15000</v>
      </c>
      <c r="D27" s="222">
        <f>J172</f>
        <v>15000</v>
      </c>
      <c r="E27" s="222">
        <f>K172</f>
        <v>15000</v>
      </c>
      <c r="F27" s="85"/>
      <c r="G27" s="85"/>
      <c r="H27" s="85"/>
      <c r="I27" s="85"/>
      <c r="J27" s="85"/>
      <c r="K27" s="85"/>
      <c r="L27" s="85"/>
      <c r="M27" s="85"/>
      <c r="N27" s="85"/>
      <c r="O27" s="11"/>
      <c r="P27" s="11"/>
      <c r="Q27" s="11"/>
      <c r="R27" s="11"/>
      <c r="S27" s="11"/>
      <c r="T27" s="11"/>
      <c r="U27" s="11"/>
      <c r="V27" s="11"/>
    </row>
    <row r="28" spans="1:22" s="1" customFormat="1" ht="27.75" customHeight="1" x14ac:dyDescent="0.25">
      <c r="A28" s="4" t="s">
        <v>328</v>
      </c>
      <c r="B28" s="96" t="s">
        <v>541</v>
      </c>
      <c r="C28" s="222">
        <f>I187+L187</f>
        <v>234505</v>
      </c>
      <c r="D28" s="222">
        <f>J187</f>
        <v>234505</v>
      </c>
      <c r="E28" s="222">
        <f>K187</f>
        <v>234505</v>
      </c>
      <c r="F28" s="85"/>
      <c r="G28" s="85"/>
      <c r="H28" s="85"/>
      <c r="I28" s="85"/>
      <c r="J28" s="85"/>
      <c r="K28" s="85"/>
      <c r="L28" s="85"/>
      <c r="M28" s="85"/>
      <c r="N28" s="85"/>
      <c r="O28" s="11"/>
      <c r="P28" s="11"/>
      <c r="Q28" s="11"/>
      <c r="R28" s="11"/>
      <c r="S28" s="11"/>
      <c r="T28" s="11"/>
      <c r="U28" s="11"/>
      <c r="V28" s="11"/>
    </row>
    <row r="29" spans="1:22" s="1" customFormat="1" ht="27.75" customHeight="1" x14ac:dyDescent="0.25">
      <c r="A29" s="4" t="s">
        <v>332</v>
      </c>
      <c r="B29" s="96" t="s">
        <v>542</v>
      </c>
      <c r="C29" s="222">
        <f>I196</f>
        <v>10000</v>
      </c>
      <c r="D29" s="222">
        <f>J196</f>
        <v>10000</v>
      </c>
      <c r="E29" s="222">
        <f>K196</f>
        <v>10000</v>
      </c>
      <c r="F29" s="85"/>
      <c r="G29" s="85"/>
      <c r="H29" s="85"/>
      <c r="I29" s="85"/>
      <c r="J29" s="85"/>
      <c r="K29" s="85"/>
      <c r="L29" s="85"/>
      <c r="M29" s="85"/>
      <c r="N29" s="85"/>
      <c r="O29" s="11"/>
      <c r="P29" s="11"/>
      <c r="Q29" s="11"/>
      <c r="R29" s="11"/>
      <c r="S29" s="11"/>
      <c r="T29" s="11"/>
      <c r="U29" s="11"/>
      <c r="V29" s="11"/>
    </row>
    <row r="30" spans="1:22" s="1" customFormat="1" ht="78.75" customHeight="1" x14ac:dyDescent="0.25">
      <c r="A30" s="4" t="s">
        <v>474</v>
      </c>
      <c r="B30" s="115" t="s">
        <v>86</v>
      </c>
      <c r="C30" s="222">
        <v>0</v>
      </c>
      <c r="D30" s="222">
        <v>0</v>
      </c>
      <c r="E30" s="222">
        <v>0</v>
      </c>
      <c r="F30" s="85"/>
      <c r="G30" s="85"/>
      <c r="H30" s="85"/>
      <c r="I30" s="85"/>
      <c r="J30" s="85"/>
      <c r="K30" s="85"/>
      <c r="L30" s="85"/>
      <c r="M30" s="85"/>
      <c r="N30" s="85"/>
      <c r="O30" s="11"/>
      <c r="P30" s="11"/>
      <c r="Q30" s="11"/>
      <c r="R30" s="11"/>
      <c r="S30" s="11"/>
      <c r="T30" s="11"/>
      <c r="U30" s="11"/>
      <c r="V30" s="11"/>
    </row>
    <row r="31" spans="1:22" s="1" customFormat="1" ht="52.5" customHeight="1" x14ac:dyDescent="0.25">
      <c r="A31" s="4" t="s">
        <v>475</v>
      </c>
      <c r="B31" s="115" t="s">
        <v>87</v>
      </c>
      <c r="C31" s="222">
        <v>0</v>
      </c>
      <c r="D31" s="222">
        <v>0</v>
      </c>
      <c r="E31" s="222">
        <v>0</v>
      </c>
      <c r="F31" s="85"/>
      <c r="G31" s="85"/>
      <c r="H31" s="85"/>
      <c r="I31" s="85"/>
      <c r="J31" s="85"/>
      <c r="K31" s="85"/>
      <c r="L31" s="85"/>
      <c r="M31" s="85"/>
      <c r="N31" s="85"/>
      <c r="O31" s="11"/>
      <c r="P31" s="11"/>
      <c r="Q31" s="11"/>
      <c r="R31" s="11"/>
      <c r="S31" s="11"/>
      <c r="T31" s="11"/>
      <c r="U31" s="11"/>
      <c r="V31" s="11"/>
    </row>
    <row r="32" spans="1:22" s="1" customFormat="1" ht="41.25" customHeight="1" x14ac:dyDescent="0.25">
      <c r="A32" s="4" t="s">
        <v>476</v>
      </c>
      <c r="B32" s="115" t="s">
        <v>88</v>
      </c>
      <c r="C32" s="108">
        <f>C9-C10+C11-C30+C31</f>
        <v>2872200.0013600001</v>
      </c>
      <c r="D32" s="108">
        <f t="shared" ref="D32:E32" si="9">D9-D10+D11-D30+D31</f>
        <v>2872200.0013600001</v>
      </c>
      <c r="E32" s="108">
        <f t="shared" si="9"/>
        <v>2872200.0013600001</v>
      </c>
      <c r="F32" s="85"/>
      <c r="G32" s="85"/>
      <c r="H32" s="85"/>
      <c r="I32" s="85"/>
      <c r="J32" s="85"/>
      <c r="K32" s="85"/>
      <c r="L32" s="85"/>
      <c r="M32" s="85"/>
      <c r="N32" s="85"/>
      <c r="O32" s="11"/>
      <c r="P32" s="11"/>
      <c r="Q32" s="11"/>
      <c r="R32" s="11"/>
      <c r="S32" s="11"/>
      <c r="T32" s="11"/>
      <c r="U32" s="11"/>
      <c r="V32" s="11"/>
    </row>
    <row r="33" spans="1:22" s="1" customFormat="1" ht="15.75" x14ac:dyDescent="0.25">
      <c r="A33" s="33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11"/>
      <c r="P33" s="11"/>
      <c r="Q33" s="11"/>
      <c r="R33" s="11"/>
      <c r="S33" s="11"/>
      <c r="T33" s="11"/>
      <c r="U33" s="11"/>
      <c r="V33" s="11"/>
    </row>
    <row r="34" spans="1:22" s="1" customFormat="1" ht="21" customHeight="1" x14ac:dyDescent="0.25">
      <c r="A34" s="343" t="s">
        <v>481</v>
      </c>
      <c r="B34" s="343"/>
      <c r="C34" s="343"/>
      <c r="D34" s="343"/>
      <c r="E34" s="343"/>
      <c r="F34" s="343"/>
      <c r="G34" s="343"/>
      <c r="H34" s="343"/>
      <c r="I34" s="85"/>
      <c r="J34" s="85"/>
      <c r="K34" s="85"/>
      <c r="L34" s="85"/>
      <c r="M34" s="85"/>
      <c r="N34" s="85"/>
      <c r="O34" s="11"/>
      <c r="P34" s="11"/>
      <c r="Q34" s="11"/>
      <c r="R34" s="11"/>
      <c r="S34" s="11"/>
      <c r="T34" s="11"/>
      <c r="U34" s="11"/>
      <c r="V34" s="11"/>
    </row>
    <row r="35" spans="1:22" s="1" customFormat="1" ht="15.75" x14ac:dyDescent="0.25">
      <c r="A35" s="33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11"/>
      <c r="P35" s="11"/>
      <c r="Q35" s="11"/>
      <c r="R35" s="11"/>
      <c r="S35" s="11"/>
      <c r="T35" s="11"/>
      <c r="U35" s="11"/>
      <c r="V35" s="11"/>
    </row>
    <row r="36" spans="1:22" s="1" customFormat="1" ht="15.75" x14ac:dyDescent="0.25">
      <c r="A36" s="344" t="s">
        <v>451</v>
      </c>
      <c r="B36" s="307" t="s">
        <v>72</v>
      </c>
      <c r="C36" s="275" t="s">
        <v>64</v>
      </c>
      <c r="D36" s="275"/>
      <c r="E36" s="275"/>
      <c r="F36" s="275" t="s">
        <v>142</v>
      </c>
      <c r="G36" s="275"/>
      <c r="H36" s="275"/>
      <c r="I36" s="275" t="s">
        <v>143</v>
      </c>
      <c r="J36" s="275"/>
      <c r="K36" s="275"/>
      <c r="L36" s="275" t="s">
        <v>43</v>
      </c>
      <c r="M36" s="275"/>
      <c r="N36" s="275"/>
      <c r="O36" s="345"/>
      <c r="P36" s="11"/>
      <c r="Q36" s="11"/>
      <c r="R36" s="11"/>
      <c r="S36" s="11"/>
      <c r="T36" s="11"/>
      <c r="U36" s="11"/>
      <c r="V36" s="11"/>
    </row>
    <row r="37" spans="1:22" s="1" customFormat="1" ht="15.75" x14ac:dyDescent="0.25">
      <c r="A37" s="344"/>
      <c r="B37" s="307"/>
      <c r="C37" s="256" t="s">
        <v>399</v>
      </c>
      <c r="D37" s="256" t="s">
        <v>611</v>
      </c>
      <c r="E37" s="256" t="s">
        <v>650</v>
      </c>
      <c r="F37" s="256" t="s">
        <v>399</v>
      </c>
      <c r="G37" s="256" t="s">
        <v>611</v>
      </c>
      <c r="H37" s="256" t="s">
        <v>650</v>
      </c>
      <c r="I37" s="256" t="s">
        <v>399</v>
      </c>
      <c r="J37" s="256" t="s">
        <v>611</v>
      </c>
      <c r="K37" s="256" t="s">
        <v>650</v>
      </c>
      <c r="L37" s="256" t="s">
        <v>399</v>
      </c>
      <c r="M37" s="256" t="s">
        <v>611</v>
      </c>
      <c r="N37" s="256" t="s">
        <v>650</v>
      </c>
      <c r="O37" s="345"/>
      <c r="P37" s="11"/>
      <c r="Q37" s="11"/>
      <c r="R37" s="11"/>
      <c r="S37" s="11"/>
      <c r="T37" s="11"/>
      <c r="U37" s="11"/>
      <c r="V37" s="11"/>
    </row>
    <row r="38" spans="1:22" s="1" customFormat="1" ht="40.5" customHeight="1" x14ac:dyDescent="0.25">
      <c r="A38" s="344"/>
      <c r="B38" s="307"/>
      <c r="C38" s="121" t="s">
        <v>44</v>
      </c>
      <c r="D38" s="121" t="s">
        <v>45</v>
      </c>
      <c r="E38" s="121" t="s">
        <v>46</v>
      </c>
      <c r="F38" s="121" t="s">
        <v>44</v>
      </c>
      <c r="G38" s="121" t="s">
        <v>45</v>
      </c>
      <c r="H38" s="121" t="s">
        <v>46</v>
      </c>
      <c r="I38" s="121" t="s">
        <v>44</v>
      </c>
      <c r="J38" s="121" t="s">
        <v>45</v>
      </c>
      <c r="K38" s="121" t="s">
        <v>46</v>
      </c>
      <c r="L38" s="121" t="s">
        <v>44</v>
      </c>
      <c r="M38" s="121" t="s">
        <v>45</v>
      </c>
      <c r="N38" s="121" t="s">
        <v>46</v>
      </c>
      <c r="O38" s="345"/>
      <c r="P38" s="11"/>
      <c r="Q38" s="11"/>
      <c r="R38" s="11"/>
      <c r="S38" s="11"/>
      <c r="T38" s="11"/>
      <c r="U38" s="11"/>
      <c r="V38" s="11"/>
    </row>
    <row r="39" spans="1:22" s="1" customFormat="1" ht="15.75" x14ac:dyDescent="0.25">
      <c r="A39" s="34" t="s">
        <v>190</v>
      </c>
      <c r="B39" s="115" t="s">
        <v>73</v>
      </c>
      <c r="C39" s="115" t="s">
        <v>47</v>
      </c>
      <c r="D39" s="115" t="s">
        <v>48</v>
      </c>
      <c r="E39" s="115" t="s">
        <v>49</v>
      </c>
      <c r="F39" s="115" t="s">
        <v>52</v>
      </c>
      <c r="G39" s="115" t="s">
        <v>53</v>
      </c>
      <c r="H39" s="115" t="s">
        <v>91</v>
      </c>
      <c r="I39" s="115" t="s">
        <v>92</v>
      </c>
      <c r="J39" s="115" t="s">
        <v>93</v>
      </c>
      <c r="K39" s="115" t="s">
        <v>94</v>
      </c>
      <c r="L39" s="115" t="s">
        <v>115</v>
      </c>
      <c r="M39" s="115" t="s">
        <v>126</v>
      </c>
      <c r="N39" s="115" t="s">
        <v>127</v>
      </c>
      <c r="O39" s="203"/>
      <c r="P39" s="11"/>
      <c r="Q39" s="11"/>
      <c r="R39" s="11"/>
      <c r="S39" s="11"/>
      <c r="T39" s="11"/>
      <c r="U39" s="11"/>
      <c r="V39" s="11"/>
    </row>
    <row r="40" spans="1:22" s="1" customFormat="1" ht="15.75" x14ac:dyDescent="0.25">
      <c r="A40" s="19" t="s">
        <v>526</v>
      </c>
      <c r="B40" s="115" t="s">
        <v>98</v>
      </c>
      <c r="C40" s="93">
        <v>1</v>
      </c>
      <c r="D40" s="93">
        <v>1</v>
      </c>
      <c r="E40" s="93">
        <v>1</v>
      </c>
      <c r="F40" s="93">
        <v>12</v>
      </c>
      <c r="G40" s="93">
        <v>12</v>
      </c>
      <c r="H40" s="93">
        <v>12</v>
      </c>
      <c r="I40" s="115">
        <v>3200</v>
      </c>
      <c r="J40" s="115">
        <v>3200</v>
      </c>
      <c r="K40" s="115">
        <v>3200</v>
      </c>
      <c r="L40" s="115">
        <v>38400</v>
      </c>
      <c r="M40" s="256">
        <v>38400</v>
      </c>
      <c r="N40" s="256">
        <v>38400</v>
      </c>
      <c r="O40" s="204"/>
      <c r="P40" s="11"/>
      <c r="Q40" s="11"/>
      <c r="R40" s="11"/>
      <c r="S40" s="11"/>
      <c r="T40" s="11"/>
      <c r="U40" s="11"/>
      <c r="V40" s="11"/>
    </row>
    <row r="41" spans="1:22" s="1" customFormat="1" ht="15.75" x14ac:dyDescent="0.25">
      <c r="A41" s="19" t="s">
        <v>527</v>
      </c>
      <c r="B41" s="115" t="s">
        <v>99</v>
      </c>
      <c r="C41" s="93">
        <v>1</v>
      </c>
      <c r="D41" s="93">
        <v>1</v>
      </c>
      <c r="E41" s="93">
        <v>1</v>
      </c>
      <c r="F41" s="93">
        <v>12</v>
      </c>
      <c r="G41" s="93">
        <v>12</v>
      </c>
      <c r="H41" s="93">
        <v>12</v>
      </c>
      <c r="I41" s="115">
        <v>333.33</v>
      </c>
      <c r="J41" s="256">
        <v>333.33</v>
      </c>
      <c r="K41" s="256">
        <v>333.33</v>
      </c>
      <c r="L41" s="115">
        <v>4000</v>
      </c>
      <c r="M41" s="256">
        <v>4000</v>
      </c>
      <c r="N41" s="256">
        <v>4000</v>
      </c>
      <c r="O41" s="204"/>
      <c r="P41" s="11"/>
      <c r="Q41" s="11"/>
      <c r="R41" s="11"/>
      <c r="S41" s="11"/>
      <c r="T41" s="11"/>
      <c r="U41" s="11"/>
      <c r="V41" s="11"/>
    </row>
    <row r="42" spans="1:22" s="1" customFormat="1" ht="15.75" x14ac:dyDescent="0.25">
      <c r="A42" s="19" t="s">
        <v>201</v>
      </c>
      <c r="B42" s="256" t="s">
        <v>152</v>
      </c>
      <c r="C42" s="93">
        <v>1</v>
      </c>
      <c r="D42" s="93">
        <v>1</v>
      </c>
      <c r="E42" s="93">
        <v>1</v>
      </c>
      <c r="F42" s="93">
        <v>12</v>
      </c>
      <c r="G42" s="93">
        <v>12</v>
      </c>
      <c r="H42" s="93">
        <v>12</v>
      </c>
      <c r="I42" s="115">
        <v>167</v>
      </c>
      <c r="J42" s="256">
        <v>167</v>
      </c>
      <c r="K42" s="256">
        <v>167</v>
      </c>
      <c r="L42" s="115">
        <f>F42*I42</f>
        <v>2004</v>
      </c>
      <c r="M42" s="256">
        <f t="shared" ref="M42:N43" si="10">G42*J42</f>
        <v>2004</v>
      </c>
      <c r="N42" s="256">
        <f t="shared" si="10"/>
        <v>2004</v>
      </c>
      <c r="O42" s="204"/>
      <c r="P42" s="11"/>
      <c r="Q42" s="11"/>
      <c r="R42" s="11"/>
      <c r="S42" s="11"/>
      <c r="T42" s="11"/>
      <c r="U42" s="11"/>
      <c r="V42" s="11"/>
    </row>
    <row r="43" spans="1:22" s="1" customFormat="1" ht="28.5" customHeight="1" x14ac:dyDescent="0.25">
      <c r="A43" s="4" t="s">
        <v>528</v>
      </c>
      <c r="B43" s="256" t="s">
        <v>154</v>
      </c>
      <c r="C43" s="93">
        <v>1</v>
      </c>
      <c r="D43" s="93">
        <v>1</v>
      </c>
      <c r="E43" s="93">
        <v>1</v>
      </c>
      <c r="F43" s="93">
        <v>12</v>
      </c>
      <c r="G43" s="93">
        <v>12</v>
      </c>
      <c r="H43" s="93">
        <v>12</v>
      </c>
      <c r="I43" s="115">
        <v>475</v>
      </c>
      <c r="J43" s="115">
        <v>475</v>
      </c>
      <c r="K43" s="115">
        <v>475</v>
      </c>
      <c r="L43" s="115">
        <f>F43*I43</f>
        <v>5700</v>
      </c>
      <c r="M43" s="256">
        <f t="shared" si="10"/>
        <v>5700</v>
      </c>
      <c r="N43" s="256">
        <f t="shared" si="10"/>
        <v>5700</v>
      </c>
      <c r="O43" s="204"/>
      <c r="P43" s="11"/>
      <c r="Q43" s="11"/>
      <c r="R43" s="11"/>
      <c r="S43" s="11"/>
      <c r="T43" s="11"/>
      <c r="U43" s="11"/>
      <c r="V43" s="11"/>
    </row>
    <row r="44" spans="1:22" s="1" customFormat="1" ht="15.75" x14ac:dyDescent="0.25">
      <c r="A44" s="34" t="s">
        <v>427</v>
      </c>
      <c r="B44" s="115" t="s">
        <v>1</v>
      </c>
      <c r="C44" s="115" t="s">
        <v>1</v>
      </c>
      <c r="D44" s="115" t="s">
        <v>1</v>
      </c>
      <c r="E44" s="115" t="s">
        <v>1</v>
      </c>
      <c r="F44" s="115" t="s">
        <v>1</v>
      </c>
      <c r="G44" s="115" t="s">
        <v>1</v>
      </c>
      <c r="H44" s="115" t="s">
        <v>1</v>
      </c>
      <c r="I44" s="115" t="s">
        <v>1</v>
      </c>
      <c r="J44" s="115" t="s">
        <v>1</v>
      </c>
      <c r="K44" s="115" t="s">
        <v>1</v>
      </c>
      <c r="L44" s="94">
        <f>SUM(L40:L43)</f>
        <v>50104</v>
      </c>
      <c r="M44" s="94">
        <f>SUM(M40:M43)</f>
        <v>50104</v>
      </c>
      <c r="N44" s="94">
        <f>SUM(N40:N43)</f>
        <v>50104</v>
      </c>
      <c r="O44" s="205"/>
      <c r="P44" s="11"/>
      <c r="Q44" s="11"/>
      <c r="R44" s="11"/>
      <c r="S44" s="11"/>
      <c r="T44" s="11"/>
      <c r="U44" s="11"/>
      <c r="V44" s="11"/>
    </row>
    <row r="45" spans="1:22" s="1" customFormat="1" ht="15" customHeight="1" x14ac:dyDescent="0.25">
      <c r="A45" s="33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11"/>
      <c r="P45" s="11"/>
      <c r="Q45" s="11"/>
      <c r="R45" s="11"/>
      <c r="S45" s="11"/>
      <c r="T45" s="11"/>
      <c r="U45" s="11"/>
      <c r="V45" s="11"/>
    </row>
    <row r="46" spans="1:22" s="1" customFormat="1" ht="21" customHeight="1" x14ac:dyDescent="0.25">
      <c r="A46" s="343" t="s">
        <v>529</v>
      </c>
      <c r="B46" s="343"/>
      <c r="C46" s="343"/>
      <c r="D46" s="343"/>
      <c r="E46" s="343"/>
      <c r="F46" s="343"/>
      <c r="G46" s="343"/>
      <c r="H46" s="343"/>
      <c r="I46" s="343"/>
      <c r="J46" s="343"/>
      <c r="K46" s="343"/>
      <c r="L46" s="343"/>
      <c r="M46" s="343"/>
      <c r="N46" s="343"/>
      <c r="O46" s="11"/>
      <c r="P46" s="11"/>
      <c r="Q46" s="11"/>
      <c r="R46" s="11"/>
      <c r="S46" s="11"/>
      <c r="T46" s="11"/>
      <c r="U46" s="11"/>
      <c r="V46" s="11"/>
    </row>
    <row r="47" spans="1:22" s="1" customFormat="1" ht="13.5" customHeight="1" x14ac:dyDescent="0.25">
      <c r="A47" s="33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11"/>
      <c r="P47" s="11"/>
      <c r="Q47" s="11"/>
      <c r="R47" s="11"/>
      <c r="S47" s="11"/>
      <c r="T47" s="11"/>
      <c r="U47" s="11"/>
      <c r="V47" s="11"/>
    </row>
    <row r="48" spans="1:22" s="1" customFormat="1" ht="15.75" x14ac:dyDescent="0.25">
      <c r="A48" s="344" t="s">
        <v>451</v>
      </c>
      <c r="B48" s="307" t="s">
        <v>144</v>
      </c>
      <c r="C48" s="306" t="s">
        <v>65</v>
      </c>
      <c r="D48" s="306"/>
      <c r="E48" s="306"/>
      <c r="F48" s="306" t="s">
        <v>145</v>
      </c>
      <c r="G48" s="306"/>
      <c r="H48" s="306"/>
      <c r="I48" s="306" t="s">
        <v>43</v>
      </c>
      <c r="J48" s="306"/>
      <c r="K48" s="306"/>
      <c r="L48" s="85"/>
      <c r="M48" s="85"/>
      <c r="N48" s="85"/>
      <c r="O48" s="11"/>
      <c r="P48" s="11"/>
      <c r="Q48" s="11"/>
      <c r="R48" s="11"/>
      <c r="S48" s="11"/>
      <c r="T48" s="11"/>
      <c r="U48" s="11"/>
      <c r="V48" s="11"/>
    </row>
    <row r="49" spans="1:22" s="1" customFormat="1" ht="15.75" x14ac:dyDescent="0.25">
      <c r="A49" s="344"/>
      <c r="B49" s="307"/>
      <c r="C49" s="256" t="s">
        <v>399</v>
      </c>
      <c r="D49" s="256" t="s">
        <v>611</v>
      </c>
      <c r="E49" s="256" t="s">
        <v>650</v>
      </c>
      <c r="F49" s="256" t="s">
        <v>399</v>
      </c>
      <c r="G49" s="256" t="s">
        <v>611</v>
      </c>
      <c r="H49" s="256" t="s">
        <v>650</v>
      </c>
      <c r="I49" s="256" t="s">
        <v>399</v>
      </c>
      <c r="J49" s="256" t="s">
        <v>611</v>
      </c>
      <c r="K49" s="256" t="s">
        <v>650</v>
      </c>
      <c r="L49" s="85"/>
      <c r="M49" s="85"/>
      <c r="N49" s="85"/>
      <c r="O49" s="11"/>
      <c r="P49" s="11"/>
      <c r="Q49" s="11"/>
      <c r="R49" s="11"/>
      <c r="S49" s="11"/>
      <c r="T49" s="11"/>
      <c r="U49" s="11"/>
      <c r="V49" s="11"/>
    </row>
    <row r="50" spans="1:22" s="1" customFormat="1" ht="38.25" x14ac:dyDescent="0.25">
      <c r="A50" s="344"/>
      <c r="B50" s="307"/>
      <c r="C50" s="121" t="s">
        <v>44</v>
      </c>
      <c r="D50" s="122" t="s">
        <v>45</v>
      </c>
      <c r="E50" s="122" t="s">
        <v>46</v>
      </c>
      <c r="F50" s="121" t="s">
        <v>44</v>
      </c>
      <c r="G50" s="122" t="s">
        <v>45</v>
      </c>
      <c r="H50" s="122" t="s">
        <v>46</v>
      </c>
      <c r="I50" s="121" t="s">
        <v>44</v>
      </c>
      <c r="J50" s="122" t="s">
        <v>45</v>
      </c>
      <c r="K50" s="122" t="s">
        <v>46</v>
      </c>
      <c r="L50" s="85"/>
      <c r="M50" s="85"/>
      <c r="N50" s="85"/>
      <c r="O50" s="11"/>
      <c r="P50" s="11"/>
      <c r="Q50" s="11"/>
      <c r="R50" s="11"/>
      <c r="S50" s="11"/>
      <c r="T50" s="11"/>
      <c r="U50" s="11"/>
      <c r="V50" s="11"/>
    </row>
    <row r="51" spans="1:22" s="1" customFormat="1" ht="15.75" x14ac:dyDescent="0.25">
      <c r="A51" s="34" t="s">
        <v>190</v>
      </c>
      <c r="B51" s="115" t="s">
        <v>73</v>
      </c>
      <c r="C51" s="115" t="s">
        <v>47</v>
      </c>
      <c r="D51" s="115" t="s">
        <v>48</v>
      </c>
      <c r="E51" s="115" t="s">
        <v>49</v>
      </c>
      <c r="F51" s="115" t="s">
        <v>52</v>
      </c>
      <c r="G51" s="115" t="s">
        <v>53</v>
      </c>
      <c r="H51" s="115" t="s">
        <v>91</v>
      </c>
      <c r="I51" s="115" t="s">
        <v>92</v>
      </c>
      <c r="J51" s="115" t="s">
        <v>93</v>
      </c>
      <c r="K51" s="115" t="s">
        <v>94</v>
      </c>
      <c r="L51" s="85"/>
      <c r="M51" s="85"/>
      <c r="N51" s="85"/>
      <c r="O51" s="11"/>
      <c r="P51" s="11"/>
      <c r="Q51" s="11"/>
      <c r="R51" s="11"/>
      <c r="S51" s="11"/>
      <c r="T51" s="11"/>
      <c r="U51" s="11"/>
      <c r="V51" s="11"/>
    </row>
    <row r="52" spans="1:22" s="1" customFormat="1" ht="39" customHeight="1" x14ac:dyDescent="0.25">
      <c r="A52" s="4" t="s">
        <v>530</v>
      </c>
      <c r="B52" s="115" t="s">
        <v>98</v>
      </c>
      <c r="C52" s="93">
        <v>5</v>
      </c>
      <c r="D52" s="93">
        <v>5</v>
      </c>
      <c r="E52" s="93">
        <v>5</v>
      </c>
      <c r="F52" s="93">
        <v>15000</v>
      </c>
      <c r="G52" s="93">
        <v>15000</v>
      </c>
      <c r="H52" s="93">
        <v>15000</v>
      </c>
      <c r="I52" s="115">
        <f>C52*F52</f>
        <v>75000</v>
      </c>
      <c r="J52" s="256">
        <v>75000</v>
      </c>
      <c r="K52" s="256">
        <v>75000</v>
      </c>
      <c r="L52" s="85"/>
      <c r="M52" s="85"/>
      <c r="N52" s="85"/>
      <c r="O52" s="11"/>
      <c r="P52" s="11"/>
      <c r="Q52" s="11"/>
      <c r="R52" s="11"/>
      <c r="S52" s="11"/>
      <c r="T52" s="11"/>
      <c r="U52" s="11"/>
      <c r="V52" s="11"/>
    </row>
    <row r="53" spans="1:22" s="1" customFormat="1" ht="15.75" x14ac:dyDescent="0.25">
      <c r="A53" s="34" t="s">
        <v>427</v>
      </c>
      <c r="B53" s="115" t="s">
        <v>1</v>
      </c>
      <c r="C53" s="115" t="s">
        <v>1</v>
      </c>
      <c r="D53" s="115" t="s">
        <v>1</v>
      </c>
      <c r="E53" s="115" t="s">
        <v>1</v>
      </c>
      <c r="F53" s="115" t="s">
        <v>1</v>
      </c>
      <c r="G53" s="115" t="s">
        <v>1</v>
      </c>
      <c r="H53" s="115" t="s">
        <v>1</v>
      </c>
      <c r="I53" s="30">
        <f>SUM(I52:I52)</f>
        <v>75000</v>
      </c>
      <c r="J53" s="30">
        <f>SUM(J52:J52)</f>
        <v>75000</v>
      </c>
      <c r="K53" s="30">
        <f>SUM(K52:K52)</f>
        <v>75000</v>
      </c>
      <c r="L53" s="85"/>
      <c r="M53" s="85"/>
      <c r="N53" s="85"/>
      <c r="O53" s="11"/>
      <c r="P53" s="11"/>
      <c r="Q53" s="11"/>
      <c r="R53" s="11"/>
      <c r="S53" s="11"/>
      <c r="T53" s="11"/>
      <c r="U53" s="11"/>
      <c r="V53" s="11"/>
    </row>
    <row r="54" spans="1:22" s="1" customFormat="1" ht="15.75" x14ac:dyDescent="0.25">
      <c r="A54" s="33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11"/>
      <c r="P54" s="11"/>
      <c r="Q54" s="11"/>
      <c r="R54" s="11"/>
      <c r="S54" s="11"/>
      <c r="T54" s="11"/>
      <c r="U54" s="11"/>
      <c r="V54" s="11"/>
    </row>
    <row r="55" spans="1:22" s="1" customFormat="1" ht="22.5" customHeight="1" x14ac:dyDescent="0.25">
      <c r="A55" s="343" t="s">
        <v>531</v>
      </c>
      <c r="B55" s="343"/>
      <c r="C55" s="343"/>
      <c r="D55" s="343"/>
      <c r="E55" s="343"/>
      <c r="F55" s="343"/>
      <c r="G55" s="343"/>
      <c r="H55" s="343"/>
      <c r="I55" s="343"/>
      <c r="J55" s="343"/>
      <c r="K55" s="343"/>
      <c r="L55" s="343"/>
      <c r="M55" s="343"/>
      <c r="N55" s="343"/>
      <c r="O55" s="11"/>
      <c r="P55" s="11"/>
      <c r="Q55" s="11"/>
      <c r="R55" s="11"/>
      <c r="S55" s="11"/>
      <c r="T55" s="11"/>
      <c r="U55" s="11"/>
      <c r="V55" s="11"/>
    </row>
    <row r="56" spans="1:22" s="1" customFormat="1" ht="10.5" customHeight="1" x14ac:dyDescent="0.25">
      <c r="A56" s="33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11"/>
      <c r="P56" s="11"/>
      <c r="Q56" s="11"/>
      <c r="R56" s="11"/>
      <c r="S56" s="11"/>
      <c r="T56" s="11"/>
      <c r="U56" s="11"/>
      <c r="V56" s="11"/>
    </row>
    <row r="57" spans="1:22" s="1" customFormat="1" ht="15.75" x14ac:dyDescent="0.25">
      <c r="A57" s="344" t="s">
        <v>451</v>
      </c>
      <c r="B57" s="307" t="s">
        <v>72</v>
      </c>
      <c r="C57" s="308" t="s">
        <v>66</v>
      </c>
      <c r="D57" s="308"/>
      <c r="E57" s="308"/>
      <c r="F57" s="305" t="s">
        <v>146</v>
      </c>
      <c r="G57" s="305"/>
      <c r="H57" s="305"/>
      <c r="I57" s="305" t="s">
        <v>43</v>
      </c>
      <c r="J57" s="305"/>
      <c r="K57" s="305"/>
      <c r="L57" s="345"/>
      <c r="M57" s="85"/>
      <c r="N57" s="85"/>
      <c r="O57" s="11"/>
      <c r="P57" s="11"/>
      <c r="Q57" s="11"/>
      <c r="R57" s="11"/>
      <c r="S57" s="11"/>
      <c r="T57" s="11"/>
      <c r="U57" s="11"/>
      <c r="V57" s="11"/>
    </row>
    <row r="58" spans="1:22" s="1" customFormat="1" ht="15.75" x14ac:dyDescent="0.25">
      <c r="A58" s="344"/>
      <c r="B58" s="307"/>
      <c r="C58" s="256" t="s">
        <v>399</v>
      </c>
      <c r="D58" s="256" t="s">
        <v>611</v>
      </c>
      <c r="E58" s="256" t="s">
        <v>650</v>
      </c>
      <c r="F58" s="256" t="s">
        <v>399</v>
      </c>
      <c r="G58" s="256" t="s">
        <v>611</v>
      </c>
      <c r="H58" s="256" t="s">
        <v>650</v>
      </c>
      <c r="I58" s="256" t="s">
        <v>399</v>
      </c>
      <c r="J58" s="256" t="s">
        <v>611</v>
      </c>
      <c r="K58" s="256" t="s">
        <v>650</v>
      </c>
      <c r="L58" s="345"/>
      <c r="M58" s="85"/>
      <c r="N58" s="85"/>
      <c r="O58" s="11"/>
      <c r="P58" s="11"/>
      <c r="Q58" s="11"/>
      <c r="R58" s="11"/>
      <c r="S58" s="11"/>
      <c r="T58" s="11"/>
      <c r="U58" s="11"/>
      <c r="V58" s="11"/>
    </row>
    <row r="59" spans="1:22" s="1" customFormat="1" ht="38.25" x14ac:dyDescent="0.25">
      <c r="A59" s="344"/>
      <c r="B59" s="307"/>
      <c r="C59" s="121" t="s">
        <v>44</v>
      </c>
      <c r="D59" s="121" t="s">
        <v>45</v>
      </c>
      <c r="E59" s="121" t="s">
        <v>46</v>
      </c>
      <c r="F59" s="121" t="s">
        <v>44</v>
      </c>
      <c r="G59" s="121" t="s">
        <v>45</v>
      </c>
      <c r="H59" s="121" t="s">
        <v>46</v>
      </c>
      <c r="I59" s="121" t="s">
        <v>44</v>
      </c>
      <c r="J59" s="121" t="s">
        <v>45</v>
      </c>
      <c r="K59" s="121" t="s">
        <v>46</v>
      </c>
      <c r="L59" s="345"/>
      <c r="M59" s="85"/>
      <c r="N59" s="85"/>
      <c r="O59" s="11"/>
      <c r="P59" s="11"/>
      <c r="Q59" s="11"/>
      <c r="R59" s="11"/>
      <c r="S59" s="11"/>
      <c r="T59" s="11"/>
      <c r="U59" s="11"/>
      <c r="V59" s="11"/>
    </row>
    <row r="60" spans="1:22" s="1" customFormat="1" ht="15.75" x14ac:dyDescent="0.25">
      <c r="A60" s="34" t="s">
        <v>190</v>
      </c>
      <c r="B60" s="115" t="s">
        <v>73</v>
      </c>
      <c r="C60" s="115" t="s">
        <v>47</v>
      </c>
      <c r="D60" s="115" t="s">
        <v>48</v>
      </c>
      <c r="E60" s="115" t="s">
        <v>49</v>
      </c>
      <c r="F60" s="115" t="s">
        <v>52</v>
      </c>
      <c r="G60" s="115" t="s">
        <v>53</v>
      </c>
      <c r="H60" s="115" t="s">
        <v>91</v>
      </c>
      <c r="I60" s="115" t="s">
        <v>92</v>
      </c>
      <c r="J60" s="115" t="s">
        <v>93</v>
      </c>
      <c r="K60" s="115" t="s">
        <v>94</v>
      </c>
      <c r="L60" s="203"/>
      <c r="M60" s="85"/>
      <c r="N60" s="85"/>
      <c r="O60" s="11"/>
      <c r="P60" s="11"/>
      <c r="Q60" s="11"/>
      <c r="R60" s="11"/>
      <c r="S60" s="11"/>
      <c r="T60" s="11"/>
      <c r="U60" s="11"/>
      <c r="V60" s="11"/>
    </row>
    <row r="61" spans="1:22" s="1" customFormat="1" ht="15.75" x14ac:dyDescent="0.25">
      <c r="A61" s="42" t="s">
        <v>202</v>
      </c>
      <c r="B61" s="115" t="s">
        <v>98</v>
      </c>
      <c r="C61" s="114">
        <v>99.704000000000008</v>
      </c>
      <c r="D61" s="114">
        <v>99.704000000000008</v>
      </c>
      <c r="E61" s="114">
        <v>99.704000000000008</v>
      </c>
      <c r="F61" s="115">
        <v>3703.34</v>
      </c>
      <c r="G61" s="256">
        <v>3703.34</v>
      </c>
      <c r="H61" s="256">
        <v>3703.34</v>
      </c>
      <c r="I61" s="115">
        <f>C61*F61+0.19</f>
        <v>369238.00136000005</v>
      </c>
      <c r="J61" s="256">
        <f t="shared" ref="J61:K61" si="11">D61*G61+0.19</f>
        <v>369238.00136000005</v>
      </c>
      <c r="K61" s="256">
        <f t="shared" si="11"/>
        <v>369238.00136000005</v>
      </c>
      <c r="L61" s="204"/>
      <c r="M61" s="85"/>
      <c r="N61" s="85"/>
      <c r="O61" s="11"/>
      <c r="P61" s="11"/>
      <c r="Q61" s="11"/>
      <c r="R61" s="11"/>
      <c r="S61" s="11"/>
      <c r="T61" s="11"/>
      <c r="U61" s="11"/>
      <c r="V61" s="11"/>
    </row>
    <row r="62" spans="1:22" s="1" customFormat="1" ht="15.75" x14ac:dyDescent="0.25">
      <c r="A62" s="34" t="s">
        <v>427</v>
      </c>
      <c r="B62" s="115" t="s">
        <v>95</v>
      </c>
      <c r="C62" s="115" t="s">
        <v>1</v>
      </c>
      <c r="D62" s="115" t="s">
        <v>1</v>
      </c>
      <c r="E62" s="115" t="s">
        <v>1</v>
      </c>
      <c r="F62" s="115" t="s">
        <v>1</v>
      </c>
      <c r="G62" s="115" t="s">
        <v>1</v>
      </c>
      <c r="H62" s="115" t="s">
        <v>1</v>
      </c>
      <c r="I62" s="30">
        <f>SUM(I61:I61)</f>
        <v>369238.00136000005</v>
      </c>
      <c r="J62" s="30">
        <f>SUM(J61:J61)</f>
        <v>369238.00136000005</v>
      </c>
      <c r="K62" s="30">
        <f>SUM(K61:K61)</f>
        <v>369238.00136000005</v>
      </c>
      <c r="L62" s="205"/>
      <c r="M62" s="85"/>
      <c r="N62" s="85"/>
      <c r="O62" s="11"/>
      <c r="P62" s="11"/>
      <c r="Q62" s="11"/>
      <c r="R62" s="11"/>
      <c r="S62" s="11"/>
      <c r="T62" s="11"/>
      <c r="U62" s="11"/>
      <c r="V62" s="11"/>
    </row>
    <row r="63" spans="1:22" s="1" customFormat="1" ht="15.75" hidden="1" x14ac:dyDescent="0.25">
      <c r="A63" s="33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11"/>
      <c r="P63" s="11"/>
      <c r="Q63" s="11"/>
      <c r="R63" s="11"/>
      <c r="S63" s="11"/>
      <c r="T63" s="11"/>
      <c r="U63" s="11"/>
      <c r="V63" s="11"/>
    </row>
    <row r="64" spans="1:22" s="1" customFormat="1" ht="15.75" hidden="1" x14ac:dyDescent="0.25">
      <c r="A64" s="33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11"/>
      <c r="P64" s="11"/>
      <c r="Q64" s="11"/>
      <c r="R64" s="11"/>
      <c r="S64" s="11"/>
      <c r="T64" s="11"/>
      <c r="U64" s="11"/>
      <c r="V64" s="11"/>
    </row>
    <row r="65" spans="1:22" s="1" customFormat="1" ht="38.25" hidden="1" x14ac:dyDescent="0.25">
      <c r="A65" s="32" t="s">
        <v>523</v>
      </c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11"/>
      <c r="P65" s="11"/>
      <c r="Q65" s="11"/>
      <c r="R65" s="11"/>
      <c r="S65" s="11"/>
      <c r="T65" s="11"/>
      <c r="U65" s="11"/>
      <c r="V65" s="11"/>
    </row>
    <row r="66" spans="1:22" s="1" customFormat="1" ht="15.75" hidden="1" x14ac:dyDescent="0.25">
      <c r="A66" s="33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11"/>
      <c r="P66" s="11"/>
      <c r="Q66" s="11"/>
      <c r="R66" s="11"/>
      <c r="S66" s="11"/>
      <c r="T66" s="11"/>
      <c r="U66" s="11"/>
      <c r="V66" s="11"/>
    </row>
    <row r="67" spans="1:22" s="1" customFormat="1" ht="15.75" hidden="1" x14ac:dyDescent="0.25">
      <c r="A67" s="344" t="s">
        <v>451</v>
      </c>
      <c r="B67" s="307" t="s">
        <v>72</v>
      </c>
      <c r="C67" s="308" t="s">
        <v>67</v>
      </c>
      <c r="D67" s="308"/>
      <c r="E67" s="308"/>
      <c r="F67" s="307" t="s">
        <v>147</v>
      </c>
      <c r="G67" s="307"/>
      <c r="H67" s="307"/>
      <c r="I67" s="307" t="s">
        <v>148</v>
      </c>
      <c r="J67" s="307"/>
      <c r="K67" s="307"/>
      <c r="L67" s="305" t="s">
        <v>43</v>
      </c>
      <c r="M67" s="305"/>
      <c r="N67" s="305"/>
      <c r="O67" s="11"/>
      <c r="P67" s="11"/>
      <c r="Q67" s="11"/>
      <c r="R67" s="11"/>
      <c r="S67" s="11"/>
      <c r="T67" s="11"/>
      <c r="U67" s="11"/>
      <c r="V67" s="11"/>
    </row>
    <row r="68" spans="1:22" s="1" customFormat="1" ht="15.75" hidden="1" x14ac:dyDescent="0.25">
      <c r="A68" s="344"/>
      <c r="B68" s="307"/>
      <c r="C68" s="120" t="s">
        <v>7</v>
      </c>
      <c r="D68" s="120" t="s">
        <v>8</v>
      </c>
      <c r="E68" s="120" t="s">
        <v>9</v>
      </c>
      <c r="F68" s="120" t="s">
        <v>7</v>
      </c>
      <c r="G68" s="120" t="s">
        <v>8</v>
      </c>
      <c r="H68" s="120" t="s">
        <v>9</v>
      </c>
      <c r="I68" s="120" t="s">
        <v>7</v>
      </c>
      <c r="J68" s="120" t="s">
        <v>8</v>
      </c>
      <c r="K68" s="120" t="s">
        <v>9</v>
      </c>
      <c r="L68" s="120" t="s">
        <v>38</v>
      </c>
      <c r="M68" s="120" t="s">
        <v>38</v>
      </c>
      <c r="N68" s="120" t="s">
        <v>38</v>
      </c>
      <c r="O68" s="11"/>
      <c r="P68" s="11"/>
      <c r="Q68" s="11"/>
      <c r="R68" s="11"/>
      <c r="S68" s="11"/>
      <c r="T68" s="11"/>
      <c r="U68" s="11"/>
      <c r="V68" s="11"/>
    </row>
    <row r="69" spans="1:22" s="1" customFormat="1" ht="38.25" hidden="1" x14ac:dyDescent="0.25">
      <c r="A69" s="344"/>
      <c r="B69" s="307"/>
      <c r="C69" s="122" t="s">
        <v>44</v>
      </c>
      <c r="D69" s="122" t="s">
        <v>45</v>
      </c>
      <c r="E69" s="122" t="s">
        <v>46</v>
      </c>
      <c r="F69" s="122" t="s">
        <v>44</v>
      </c>
      <c r="G69" s="122" t="s">
        <v>45</v>
      </c>
      <c r="H69" s="122" t="s">
        <v>46</v>
      </c>
      <c r="I69" s="122" t="s">
        <v>44</v>
      </c>
      <c r="J69" s="122" t="s">
        <v>45</v>
      </c>
      <c r="K69" s="122" t="s">
        <v>46</v>
      </c>
      <c r="L69" s="122" t="s">
        <v>44</v>
      </c>
      <c r="M69" s="122" t="s">
        <v>45</v>
      </c>
      <c r="N69" s="122" t="s">
        <v>46</v>
      </c>
      <c r="O69" s="11"/>
      <c r="P69" s="11"/>
      <c r="Q69" s="11"/>
      <c r="R69" s="11"/>
      <c r="S69" s="11"/>
      <c r="T69" s="11"/>
      <c r="U69" s="11"/>
      <c r="V69" s="11"/>
    </row>
    <row r="70" spans="1:22" s="1" customFormat="1" ht="15.75" hidden="1" x14ac:dyDescent="0.25">
      <c r="A70" s="34" t="s">
        <v>190</v>
      </c>
      <c r="B70" s="115" t="s">
        <v>73</v>
      </c>
      <c r="C70" s="115" t="s">
        <v>47</v>
      </c>
      <c r="D70" s="115" t="s">
        <v>48</v>
      </c>
      <c r="E70" s="115" t="s">
        <v>49</v>
      </c>
      <c r="F70" s="115" t="s">
        <v>52</v>
      </c>
      <c r="G70" s="115" t="s">
        <v>53</v>
      </c>
      <c r="H70" s="115" t="s">
        <v>91</v>
      </c>
      <c r="I70" s="115" t="s">
        <v>92</v>
      </c>
      <c r="J70" s="115" t="s">
        <v>93</v>
      </c>
      <c r="K70" s="115" t="s">
        <v>94</v>
      </c>
      <c r="L70" s="115" t="s">
        <v>115</v>
      </c>
      <c r="M70" s="115" t="s">
        <v>126</v>
      </c>
      <c r="N70" s="115" t="s">
        <v>127</v>
      </c>
      <c r="O70" s="11"/>
      <c r="P70" s="11"/>
      <c r="Q70" s="11"/>
      <c r="R70" s="11"/>
      <c r="S70" s="11"/>
      <c r="T70" s="11"/>
      <c r="U70" s="11"/>
      <c r="V70" s="11"/>
    </row>
    <row r="71" spans="1:22" s="1" customFormat="1" ht="15.75" hidden="1" x14ac:dyDescent="0.25">
      <c r="A71" s="42"/>
      <c r="B71" s="115" t="s">
        <v>98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11"/>
      <c r="P71" s="11"/>
      <c r="Q71" s="11"/>
      <c r="R71" s="11"/>
      <c r="S71" s="11"/>
      <c r="T71" s="11"/>
      <c r="U71" s="11"/>
      <c r="V71" s="11"/>
    </row>
    <row r="72" spans="1:22" s="1" customFormat="1" ht="15.75" hidden="1" x14ac:dyDescent="0.25">
      <c r="A72" s="42"/>
      <c r="B72" s="115" t="s">
        <v>99</v>
      </c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11"/>
      <c r="P72" s="11"/>
      <c r="Q72" s="11"/>
      <c r="R72" s="11"/>
      <c r="S72" s="11"/>
      <c r="T72" s="11"/>
      <c r="U72" s="11"/>
      <c r="V72" s="11"/>
    </row>
    <row r="73" spans="1:22" s="1" customFormat="1" ht="15.75" hidden="1" x14ac:dyDescent="0.25">
      <c r="A73" s="42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11"/>
      <c r="P73" s="11"/>
      <c r="Q73" s="11"/>
      <c r="R73" s="11"/>
      <c r="S73" s="11"/>
      <c r="T73" s="11"/>
      <c r="U73" s="11"/>
      <c r="V73" s="11"/>
    </row>
    <row r="74" spans="1:22" s="1" customFormat="1" ht="15.75" hidden="1" x14ac:dyDescent="0.25">
      <c r="A74" s="34" t="s">
        <v>427</v>
      </c>
      <c r="B74" s="115" t="s">
        <v>95</v>
      </c>
      <c r="C74" s="115" t="s">
        <v>1</v>
      </c>
      <c r="D74" s="115" t="s">
        <v>1</v>
      </c>
      <c r="E74" s="115" t="s">
        <v>1</v>
      </c>
      <c r="F74" s="115" t="s">
        <v>1</v>
      </c>
      <c r="G74" s="115" t="s">
        <v>1</v>
      </c>
      <c r="H74" s="115" t="s">
        <v>1</v>
      </c>
      <c r="I74" s="115" t="s">
        <v>1</v>
      </c>
      <c r="J74" s="115" t="s">
        <v>1</v>
      </c>
      <c r="K74" s="115" t="s">
        <v>1</v>
      </c>
      <c r="L74" s="36"/>
      <c r="M74" s="36"/>
      <c r="N74" s="36"/>
      <c r="O74" s="11"/>
      <c r="P74" s="11"/>
      <c r="Q74" s="11"/>
      <c r="R74" s="11"/>
      <c r="S74" s="11"/>
      <c r="T74" s="11"/>
      <c r="U74" s="11"/>
      <c r="V74" s="11"/>
    </row>
    <row r="75" spans="1:22" s="1" customFormat="1" ht="15.75" x14ac:dyDescent="0.25">
      <c r="A75" s="33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11"/>
      <c r="P75" s="11"/>
      <c r="Q75" s="11"/>
      <c r="R75" s="11"/>
      <c r="S75" s="11"/>
      <c r="T75" s="11"/>
      <c r="U75" s="11"/>
      <c r="V75" s="11"/>
    </row>
    <row r="76" spans="1:22" s="1" customFormat="1" ht="15.75" customHeight="1" x14ac:dyDescent="0.25">
      <c r="A76" s="343" t="s">
        <v>546</v>
      </c>
      <c r="B76" s="343"/>
      <c r="C76" s="343"/>
      <c r="D76" s="343"/>
      <c r="E76" s="343"/>
      <c r="F76" s="343"/>
      <c r="G76" s="343"/>
      <c r="H76" s="343"/>
      <c r="I76" s="343"/>
      <c r="J76" s="343"/>
      <c r="K76" s="343"/>
      <c r="L76" s="343"/>
      <c r="M76" s="343"/>
      <c r="N76" s="343"/>
      <c r="O76" s="11"/>
      <c r="P76" s="11"/>
      <c r="Q76" s="11"/>
      <c r="R76" s="11"/>
      <c r="S76" s="11"/>
      <c r="T76" s="11"/>
      <c r="U76" s="11"/>
      <c r="V76" s="11"/>
    </row>
    <row r="77" spans="1:22" s="1" customFormat="1" ht="15" customHeight="1" x14ac:dyDescent="0.25">
      <c r="A77" s="33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11"/>
      <c r="P77" s="11"/>
      <c r="Q77" s="11"/>
      <c r="R77" s="11"/>
      <c r="S77" s="11"/>
      <c r="T77" s="11"/>
      <c r="U77" s="11"/>
      <c r="V77" s="11"/>
    </row>
    <row r="78" spans="1:22" s="1" customFormat="1" ht="15.75" x14ac:dyDescent="0.25">
      <c r="A78" s="344" t="s">
        <v>451</v>
      </c>
      <c r="B78" s="307" t="s">
        <v>72</v>
      </c>
      <c r="C78" s="275" t="s">
        <v>68</v>
      </c>
      <c r="D78" s="275"/>
      <c r="E78" s="275"/>
      <c r="F78" s="275" t="s">
        <v>149</v>
      </c>
      <c r="G78" s="275"/>
      <c r="H78" s="275"/>
      <c r="I78" s="275" t="s">
        <v>43</v>
      </c>
      <c r="J78" s="275"/>
      <c r="K78" s="275"/>
      <c r="L78" s="85"/>
      <c r="M78" s="85"/>
      <c r="N78" s="85"/>
      <c r="O78" s="11"/>
      <c r="P78" s="11"/>
      <c r="Q78" s="11"/>
      <c r="R78" s="11"/>
      <c r="S78" s="11"/>
      <c r="T78" s="11"/>
      <c r="U78" s="11"/>
      <c r="V78" s="11"/>
    </row>
    <row r="79" spans="1:22" s="1" customFormat="1" ht="15.75" x14ac:dyDescent="0.25">
      <c r="A79" s="344"/>
      <c r="B79" s="307"/>
      <c r="C79" s="256" t="s">
        <v>399</v>
      </c>
      <c r="D79" s="256" t="s">
        <v>611</v>
      </c>
      <c r="E79" s="256" t="s">
        <v>650</v>
      </c>
      <c r="F79" s="256" t="s">
        <v>399</v>
      </c>
      <c r="G79" s="256" t="s">
        <v>611</v>
      </c>
      <c r="H79" s="256" t="s">
        <v>650</v>
      </c>
      <c r="I79" s="256" t="s">
        <v>399</v>
      </c>
      <c r="J79" s="256" t="s">
        <v>611</v>
      </c>
      <c r="K79" s="256" t="s">
        <v>650</v>
      </c>
      <c r="L79" s="85"/>
      <c r="M79" s="85"/>
      <c r="N79" s="85"/>
      <c r="O79" s="11"/>
      <c r="P79" s="11"/>
      <c r="Q79" s="11"/>
      <c r="R79" s="11"/>
      <c r="S79" s="11"/>
      <c r="T79" s="11"/>
      <c r="U79" s="11"/>
      <c r="V79" s="11"/>
    </row>
    <row r="80" spans="1:22" s="1" customFormat="1" ht="40.5" customHeight="1" x14ac:dyDescent="0.25">
      <c r="A80" s="344"/>
      <c r="B80" s="307"/>
      <c r="C80" s="121" t="s">
        <v>44</v>
      </c>
      <c r="D80" s="121" t="s">
        <v>45</v>
      </c>
      <c r="E80" s="121" t="s">
        <v>46</v>
      </c>
      <c r="F80" s="121" t="s">
        <v>44</v>
      </c>
      <c r="G80" s="121" t="s">
        <v>45</v>
      </c>
      <c r="H80" s="121" t="s">
        <v>46</v>
      </c>
      <c r="I80" s="121" t="s">
        <v>44</v>
      </c>
      <c r="J80" s="121" t="s">
        <v>45</v>
      </c>
      <c r="K80" s="121" t="s">
        <v>46</v>
      </c>
      <c r="L80" s="85"/>
      <c r="M80" s="85"/>
      <c r="N80" s="85"/>
      <c r="O80" s="11"/>
      <c r="P80" s="11"/>
      <c r="Q80" s="11"/>
      <c r="R80" s="11"/>
      <c r="S80" s="11"/>
      <c r="T80" s="11"/>
      <c r="U80" s="11"/>
      <c r="V80" s="11"/>
    </row>
    <row r="81" spans="1:22" s="1" customFormat="1" ht="15.75" x14ac:dyDescent="0.25">
      <c r="A81" s="34" t="s">
        <v>190</v>
      </c>
      <c r="B81" s="115" t="s">
        <v>73</v>
      </c>
      <c r="C81" s="115" t="s">
        <v>47</v>
      </c>
      <c r="D81" s="115" t="s">
        <v>48</v>
      </c>
      <c r="E81" s="115" t="s">
        <v>49</v>
      </c>
      <c r="F81" s="115" t="s">
        <v>52</v>
      </c>
      <c r="G81" s="115" t="s">
        <v>53</v>
      </c>
      <c r="H81" s="115" t="s">
        <v>91</v>
      </c>
      <c r="I81" s="115" t="s">
        <v>92</v>
      </c>
      <c r="J81" s="115" t="s">
        <v>93</v>
      </c>
      <c r="K81" s="115" t="s">
        <v>94</v>
      </c>
      <c r="L81" s="85"/>
      <c r="M81" s="85"/>
      <c r="N81" s="85"/>
      <c r="O81" s="11"/>
      <c r="P81" s="11"/>
      <c r="Q81" s="11"/>
      <c r="R81" s="11"/>
      <c r="S81" s="11"/>
      <c r="T81" s="11"/>
      <c r="U81" s="11"/>
      <c r="V81" s="11"/>
    </row>
    <row r="82" spans="1:22" s="1" customFormat="1" ht="15.75" x14ac:dyDescent="0.25">
      <c r="A82" s="4" t="s">
        <v>492</v>
      </c>
      <c r="B82" s="256" t="s">
        <v>98</v>
      </c>
      <c r="C82" s="109">
        <v>1</v>
      </c>
      <c r="D82" s="109">
        <v>1</v>
      </c>
      <c r="E82" s="109">
        <v>1</v>
      </c>
      <c r="F82" s="109">
        <v>1</v>
      </c>
      <c r="G82" s="109">
        <v>1</v>
      </c>
      <c r="H82" s="109">
        <v>1</v>
      </c>
      <c r="I82" s="134">
        <v>142008</v>
      </c>
      <c r="J82" s="134">
        <v>142008</v>
      </c>
      <c r="K82" s="134">
        <v>142008</v>
      </c>
      <c r="L82" s="263"/>
      <c r="M82" s="85"/>
      <c r="N82" s="85"/>
      <c r="O82" s="11"/>
      <c r="P82" s="11"/>
      <c r="Q82" s="11"/>
      <c r="R82" s="11"/>
      <c r="S82" s="11"/>
      <c r="T82" s="11"/>
      <c r="U82" s="11"/>
      <c r="V82" s="11"/>
    </row>
    <row r="83" spans="1:22" s="1" customFormat="1" ht="15.75" x14ac:dyDescent="0.25">
      <c r="A83" s="4" t="s">
        <v>532</v>
      </c>
      <c r="B83" s="256" t="s">
        <v>99</v>
      </c>
      <c r="C83" s="109">
        <v>1</v>
      </c>
      <c r="D83" s="109">
        <v>1</v>
      </c>
      <c r="E83" s="109">
        <v>1</v>
      </c>
      <c r="F83" s="109">
        <v>1</v>
      </c>
      <c r="G83" s="109">
        <v>1</v>
      </c>
      <c r="H83" s="109">
        <v>1</v>
      </c>
      <c r="I83" s="134">
        <v>11000</v>
      </c>
      <c r="J83" s="52">
        <v>11000</v>
      </c>
      <c r="K83" s="52">
        <v>11000</v>
      </c>
      <c r="L83" s="263"/>
      <c r="M83" s="85"/>
      <c r="N83" s="85"/>
      <c r="O83" s="11"/>
      <c r="P83" s="11"/>
      <c r="Q83" s="11"/>
      <c r="R83" s="11"/>
      <c r="S83" s="11"/>
      <c r="T83" s="11"/>
      <c r="U83" s="11"/>
      <c r="V83" s="11"/>
    </row>
    <row r="84" spans="1:22" s="1" customFormat="1" ht="15.75" x14ac:dyDescent="0.25">
      <c r="A84" s="4" t="s">
        <v>203</v>
      </c>
      <c r="B84" s="256" t="s">
        <v>152</v>
      </c>
      <c r="C84" s="109">
        <v>1</v>
      </c>
      <c r="D84" s="109">
        <v>1</v>
      </c>
      <c r="E84" s="109">
        <v>1</v>
      </c>
      <c r="F84" s="109">
        <v>1</v>
      </c>
      <c r="G84" s="109">
        <v>1</v>
      </c>
      <c r="H84" s="109">
        <v>1</v>
      </c>
      <c r="I84" s="134">
        <v>23000</v>
      </c>
      <c r="J84" s="134">
        <v>23000</v>
      </c>
      <c r="K84" s="134">
        <v>23000</v>
      </c>
      <c r="L84" s="263"/>
      <c r="M84" s="85"/>
      <c r="N84" s="85"/>
      <c r="O84" s="11"/>
      <c r="P84" s="11"/>
      <c r="Q84" s="11"/>
      <c r="R84" s="11"/>
      <c r="S84" s="11"/>
      <c r="T84" s="11"/>
      <c r="U84" s="11"/>
      <c r="V84" s="11"/>
    </row>
    <row r="85" spans="1:22" s="1" customFormat="1" ht="15.75" x14ac:dyDescent="0.25">
      <c r="A85" s="4" t="s">
        <v>664</v>
      </c>
      <c r="B85" s="256" t="s">
        <v>154</v>
      </c>
      <c r="C85" s="109">
        <v>1</v>
      </c>
      <c r="D85" s="109">
        <v>1</v>
      </c>
      <c r="E85" s="109">
        <v>1</v>
      </c>
      <c r="F85" s="109">
        <v>1</v>
      </c>
      <c r="G85" s="109">
        <v>1</v>
      </c>
      <c r="H85" s="109">
        <v>1</v>
      </c>
      <c r="I85" s="134">
        <v>23000</v>
      </c>
      <c r="J85" s="134">
        <v>23000</v>
      </c>
      <c r="K85" s="134">
        <v>23000</v>
      </c>
      <c r="L85" s="263"/>
      <c r="M85" s="85"/>
      <c r="N85" s="85"/>
      <c r="O85" s="11"/>
      <c r="P85" s="11"/>
      <c r="Q85" s="11"/>
      <c r="R85" s="11"/>
      <c r="S85" s="11"/>
      <c r="T85" s="11"/>
      <c r="U85" s="11"/>
      <c r="V85" s="11"/>
    </row>
    <row r="86" spans="1:22" s="1" customFormat="1" ht="15.75" x14ac:dyDescent="0.25">
      <c r="A86" s="4" t="s">
        <v>494</v>
      </c>
      <c r="B86" s="256" t="s">
        <v>155</v>
      </c>
      <c r="C86" s="109">
        <v>1</v>
      </c>
      <c r="D86" s="109">
        <v>1</v>
      </c>
      <c r="E86" s="109">
        <v>1</v>
      </c>
      <c r="F86" s="109">
        <v>1</v>
      </c>
      <c r="G86" s="109">
        <v>1</v>
      </c>
      <c r="H86" s="109">
        <v>1</v>
      </c>
      <c r="I86" s="134">
        <v>5000</v>
      </c>
      <c r="J86" s="134">
        <v>5000</v>
      </c>
      <c r="K86" s="134">
        <v>5000</v>
      </c>
      <c r="L86" s="263"/>
      <c r="M86" s="85"/>
      <c r="N86" s="85"/>
      <c r="O86" s="11"/>
      <c r="P86" s="11"/>
      <c r="Q86" s="11"/>
      <c r="R86" s="11"/>
      <c r="S86" s="11"/>
      <c r="T86" s="11"/>
      <c r="U86" s="11"/>
      <c r="V86" s="11"/>
    </row>
    <row r="87" spans="1:22" s="1" customFormat="1" ht="15.75" x14ac:dyDescent="0.25">
      <c r="A87" s="4" t="s">
        <v>666</v>
      </c>
      <c r="B87" s="256" t="s">
        <v>156</v>
      </c>
      <c r="C87" s="109">
        <v>1</v>
      </c>
      <c r="D87" s="109">
        <v>1</v>
      </c>
      <c r="E87" s="109">
        <v>1</v>
      </c>
      <c r="F87" s="109">
        <v>1</v>
      </c>
      <c r="G87" s="109">
        <v>1</v>
      </c>
      <c r="H87" s="109">
        <v>1</v>
      </c>
      <c r="I87" s="134">
        <v>4000</v>
      </c>
      <c r="J87" s="134">
        <v>4000</v>
      </c>
      <c r="K87" s="134">
        <v>4000</v>
      </c>
      <c r="L87" s="263"/>
      <c r="M87" s="85"/>
      <c r="N87" s="85"/>
      <c r="O87" s="11"/>
      <c r="P87" s="11"/>
      <c r="Q87" s="11"/>
      <c r="R87" s="11"/>
      <c r="S87" s="11"/>
      <c r="T87" s="11"/>
      <c r="U87" s="11"/>
      <c r="V87" s="11"/>
    </row>
    <row r="88" spans="1:22" s="1" customFormat="1" ht="15.75" x14ac:dyDescent="0.25">
      <c r="A88" s="4" t="s">
        <v>665</v>
      </c>
      <c r="B88" s="256" t="s">
        <v>157</v>
      </c>
      <c r="C88" s="109">
        <v>1</v>
      </c>
      <c r="D88" s="109">
        <v>1</v>
      </c>
      <c r="E88" s="109">
        <v>1</v>
      </c>
      <c r="F88" s="109">
        <v>1</v>
      </c>
      <c r="G88" s="109">
        <v>1</v>
      </c>
      <c r="H88" s="109">
        <v>1</v>
      </c>
      <c r="I88" s="134">
        <v>55000</v>
      </c>
      <c r="J88" s="134">
        <v>55000</v>
      </c>
      <c r="K88" s="134">
        <v>55000</v>
      </c>
      <c r="L88" s="263"/>
      <c r="M88" s="85"/>
      <c r="N88" s="85"/>
      <c r="O88" s="11"/>
      <c r="P88" s="11"/>
      <c r="Q88" s="11"/>
      <c r="R88" s="11"/>
      <c r="S88" s="11"/>
      <c r="T88" s="11"/>
      <c r="U88" s="11"/>
      <c r="V88" s="11"/>
    </row>
    <row r="89" spans="1:22" s="1" customFormat="1" ht="28.5" customHeight="1" x14ac:dyDescent="0.25">
      <c r="A89" s="42" t="s">
        <v>533</v>
      </c>
      <c r="B89" s="256" t="s">
        <v>158</v>
      </c>
      <c r="C89" s="109">
        <v>1</v>
      </c>
      <c r="D89" s="109">
        <v>1</v>
      </c>
      <c r="E89" s="109">
        <v>1</v>
      </c>
      <c r="F89" s="109">
        <v>1</v>
      </c>
      <c r="G89" s="109">
        <v>1</v>
      </c>
      <c r="H89" s="109">
        <v>1</v>
      </c>
      <c r="I89" s="256">
        <v>10000</v>
      </c>
      <c r="J89" s="256">
        <v>10000</v>
      </c>
      <c r="K89" s="256">
        <v>10000</v>
      </c>
      <c r="L89" s="264"/>
      <c r="M89" s="85"/>
      <c r="N89" s="85"/>
      <c r="O89" s="11"/>
      <c r="P89" s="11"/>
      <c r="Q89" s="11"/>
      <c r="R89" s="11"/>
      <c r="S89" s="11"/>
      <c r="T89" s="11"/>
      <c r="U89" s="11"/>
      <c r="V89" s="11"/>
    </row>
    <row r="90" spans="1:22" s="1" customFormat="1" ht="15.75" x14ac:dyDescent="0.25">
      <c r="A90" s="34" t="s">
        <v>427</v>
      </c>
      <c r="B90" s="115" t="s">
        <v>1</v>
      </c>
      <c r="C90" s="115" t="s">
        <v>1</v>
      </c>
      <c r="D90" s="115" t="s">
        <v>1</v>
      </c>
      <c r="E90" s="115" t="s">
        <v>1</v>
      </c>
      <c r="F90" s="115" t="s">
        <v>1</v>
      </c>
      <c r="G90" s="115" t="s">
        <v>1</v>
      </c>
      <c r="H90" s="115" t="s">
        <v>1</v>
      </c>
      <c r="I90" s="30">
        <f>SUM(I82:I89)</f>
        <v>273008</v>
      </c>
      <c r="J90" s="30">
        <f>SUM(J82:J89)</f>
        <v>273008</v>
      </c>
      <c r="K90" s="30">
        <f t="shared" ref="K90" si="12">SUM(K82:K89)</f>
        <v>273008</v>
      </c>
      <c r="L90" s="85"/>
      <c r="M90" s="85"/>
      <c r="N90" s="85"/>
      <c r="O90" s="11"/>
      <c r="P90" s="11"/>
      <c r="Q90" s="11"/>
      <c r="R90" s="11"/>
      <c r="S90" s="11"/>
      <c r="T90" s="11"/>
      <c r="U90" s="11"/>
      <c r="V90" s="11"/>
    </row>
    <row r="91" spans="1:22" s="1" customFormat="1" ht="15.75" x14ac:dyDescent="0.25">
      <c r="A91" s="33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11"/>
      <c r="P91" s="11"/>
      <c r="Q91" s="11"/>
      <c r="R91" s="11"/>
      <c r="S91" s="11"/>
      <c r="T91" s="11"/>
      <c r="U91" s="11"/>
      <c r="V91" s="11"/>
    </row>
    <row r="92" spans="1:22" s="1" customFormat="1" ht="15.75" x14ac:dyDescent="0.25">
      <c r="A92" s="293" t="s">
        <v>667</v>
      </c>
      <c r="B92" s="293"/>
      <c r="C92" s="293"/>
      <c r="D92" s="293"/>
      <c r="E92" s="293"/>
      <c r="F92" s="293"/>
      <c r="G92" s="293"/>
      <c r="H92" s="293"/>
      <c r="I92" s="293"/>
      <c r="J92" s="293"/>
      <c r="K92" s="293"/>
      <c r="L92" s="293"/>
      <c r="M92" s="293"/>
      <c r="N92" s="293"/>
      <c r="O92" s="11"/>
      <c r="P92" s="11"/>
      <c r="Q92" s="11"/>
      <c r="R92" s="11"/>
      <c r="S92" s="11"/>
      <c r="T92" s="11"/>
      <c r="U92" s="11"/>
      <c r="V92" s="11"/>
    </row>
    <row r="93" spans="1:22" s="1" customFormat="1" ht="15.75" x14ac:dyDescent="0.25">
      <c r="O93" s="11"/>
      <c r="P93" s="11"/>
      <c r="Q93" s="11"/>
      <c r="R93" s="11"/>
      <c r="S93" s="11"/>
      <c r="T93" s="11"/>
      <c r="U93" s="11"/>
      <c r="V93" s="11"/>
    </row>
    <row r="94" spans="1:22" s="1" customFormat="1" ht="15.75" x14ac:dyDescent="0.25">
      <c r="A94" s="269" t="s">
        <v>451</v>
      </c>
      <c r="B94" s="269" t="s">
        <v>72</v>
      </c>
      <c r="C94" s="269" t="s">
        <v>497</v>
      </c>
      <c r="D94" s="269"/>
      <c r="E94" s="269"/>
      <c r="F94" s="269" t="s">
        <v>498</v>
      </c>
      <c r="G94" s="269"/>
      <c r="H94" s="269"/>
      <c r="I94" s="283" t="s">
        <v>43</v>
      </c>
      <c r="J94" s="283"/>
      <c r="K94" s="283"/>
      <c r="O94" s="11"/>
      <c r="P94" s="11"/>
      <c r="Q94" s="11"/>
      <c r="R94" s="11"/>
      <c r="S94" s="11"/>
      <c r="T94" s="11"/>
      <c r="U94" s="11"/>
      <c r="V94" s="11"/>
    </row>
    <row r="95" spans="1:22" s="1" customFormat="1" ht="15.75" x14ac:dyDescent="0.25">
      <c r="A95" s="269"/>
      <c r="B95" s="269"/>
      <c r="C95" s="256" t="s">
        <v>399</v>
      </c>
      <c r="D95" s="256" t="s">
        <v>611</v>
      </c>
      <c r="E95" s="256" t="s">
        <v>650</v>
      </c>
      <c r="F95" s="256" t="s">
        <v>399</v>
      </c>
      <c r="G95" s="256" t="s">
        <v>611</v>
      </c>
      <c r="H95" s="256" t="s">
        <v>650</v>
      </c>
      <c r="I95" s="256" t="s">
        <v>399</v>
      </c>
      <c r="J95" s="256" t="s">
        <v>611</v>
      </c>
      <c r="K95" s="256" t="s">
        <v>650</v>
      </c>
      <c r="O95" s="11"/>
      <c r="P95" s="11"/>
      <c r="Q95" s="11"/>
      <c r="R95" s="11"/>
      <c r="S95" s="11"/>
      <c r="T95" s="11"/>
      <c r="U95" s="11"/>
      <c r="V95" s="11"/>
    </row>
    <row r="96" spans="1:22" s="1" customFormat="1" ht="38.25" x14ac:dyDescent="0.25">
      <c r="A96" s="269"/>
      <c r="B96" s="269"/>
      <c r="C96" s="255" t="s">
        <v>44</v>
      </c>
      <c r="D96" s="255" t="s">
        <v>45</v>
      </c>
      <c r="E96" s="255" t="s">
        <v>46</v>
      </c>
      <c r="F96" s="255" t="s">
        <v>44</v>
      </c>
      <c r="G96" s="255" t="s">
        <v>45</v>
      </c>
      <c r="H96" s="255" t="s">
        <v>46</v>
      </c>
      <c r="I96" s="255" t="s">
        <v>44</v>
      </c>
      <c r="J96" s="255" t="s">
        <v>45</v>
      </c>
      <c r="K96" s="255" t="s">
        <v>46</v>
      </c>
      <c r="O96" s="11"/>
      <c r="P96" s="11"/>
      <c r="Q96" s="11"/>
      <c r="R96" s="11"/>
      <c r="S96" s="11"/>
      <c r="T96" s="11"/>
      <c r="U96" s="11"/>
      <c r="V96" s="11"/>
    </row>
    <row r="97" spans="1:22" s="1" customFormat="1" ht="15.75" x14ac:dyDescent="0.25">
      <c r="A97" s="257" t="s">
        <v>190</v>
      </c>
      <c r="B97" s="257" t="s">
        <v>73</v>
      </c>
      <c r="C97" s="257" t="s">
        <v>47</v>
      </c>
      <c r="D97" s="257" t="s">
        <v>48</v>
      </c>
      <c r="E97" s="257" t="s">
        <v>49</v>
      </c>
      <c r="F97" s="257" t="s">
        <v>52</v>
      </c>
      <c r="G97" s="257" t="s">
        <v>53</v>
      </c>
      <c r="H97" s="257" t="s">
        <v>91</v>
      </c>
      <c r="I97" s="257" t="s">
        <v>92</v>
      </c>
      <c r="J97" s="257" t="s">
        <v>93</v>
      </c>
      <c r="K97" s="257" t="s">
        <v>94</v>
      </c>
      <c r="O97" s="11"/>
      <c r="P97" s="11"/>
      <c r="Q97" s="11"/>
      <c r="R97" s="11"/>
      <c r="S97" s="11"/>
      <c r="T97" s="11"/>
      <c r="U97" s="11"/>
      <c r="V97" s="11"/>
    </row>
    <row r="98" spans="1:22" s="1" customFormat="1" ht="25.5" x14ac:dyDescent="0.25">
      <c r="A98" s="4" t="s">
        <v>499</v>
      </c>
      <c r="B98" s="257" t="s">
        <v>98</v>
      </c>
      <c r="C98" s="110">
        <v>5</v>
      </c>
      <c r="D98" s="110">
        <v>5</v>
      </c>
      <c r="E98" s="110">
        <v>5</v>
      </c>
      <c r="F98" s="256">
        <v>3600</v>
      </c>
      <c r="G98" s="256">
        <v>3600</v>
      </c>
      <c r="H98" s="256">
        <v>3600</v>
      </c>
      <c r="I98" s="256">
        <f>C98*F98</f>
        <v>18000</v>
      </c>
      <c r="J98" s="256">
        <f t="shared" ref="J98:K98" si="13">D98*G98</f>
        <v>18000</v>
      </c>
      <c r="K98" s="256">
        <f t="shared" si="13"/>
        <v>18000</v>
      </c>
      <c r="O98" s="11"/>
      <c r="P98" s="11"/>
      <c r="Q98" s="11"/>
      <c r="R98" s="11"/>
      <c r="S98" s="11"/>
      <c r="T98" s="11"/>
      <c r="U98" s="11"/>
      <c r="V98" s="11"/>
    </row>
    <row r="99" spans="1:22" s="1" customFormat="1" ht="15.75" x14ac:dyDescent="0.25">
      <c r="A99" s="257" t="s">
        <v>427</v>
      </c>
      <c r="B99" s="96" t="s">
        <v>139</v>
      </c>
      <c r="C99" s="257" t="s">
        <v>1</v>
      </c>
      <c r="D99" s="257" t="s">
        <v>1</v>
      </c>
      <c r="E99" s="257" t="s">
        <v>1</v>
      </c>
      <c r="F99" s="256" t="s">
        <v>1</v>
      </c>
      <c r="G99" s="256" t="s">
        <v>1</v>
      </c>
      <c r="H99" s="256" t="s">
        <v>1</v>
      </c>
      <c r="I99" s="30">
        <f>SUM(I98:I98)</f>
        <v>18000</v>
      </c>
      <c r="J99" s="30">
        <f>SUM(J98:J98)</f>
        <v>18000</v>
      </c>
      <c r="K99" s="30">
        <f>SUM(K98:K98)</f>
        <v>18000</v>
      </c>
      <c r="O99" s="11"/>
      <c r="P99" s="11"/>
      <c r="Q99" s="11"/>
      <c r="R99" s="11"/>
      <c r="S99" s="11"/>
      <c r="T99" s="11"/>
      <c r="U99" s="11"/>
      <c r="V99" s="11"/>
    </row>
    <row r="100" spans="1:22" s="1" customFormat="1" ht="15.75" x14ac:dyDescent="0.25">
      <c r="A100" s="33"/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11"/>
      <c r="P100" s="11"/>
      <c r="Q100" s="11"/>
      <c r="R100" s="11"/>
      <c r="S100" s="11"/>
      <c r="T100" s="11"/>
      <c r="U100" s="11"/>
      <c r="V100" s="11"/>
    </row>
    <row r="101" spans="1:22" s="1" customFormat="1" ht="20.25" customHeight="1" x14ac:dyDescent="0.25">
      <c r="A101" s="343" t="s">
        <v>668</v>
      </c>
      <c r="B101" s="343"/>
      <c r="C101" s="343"/>
      <c r="D101" s="343"/>
      <c r="E101" s="343"/>
      <c r="F101" s="343"/>
      <c r="G101" s="343"/>
      <c r="H101" s="343"/>
      <c r="I101" s="343"/>
      <c r="J101" s="343"/>
      <c r="K101" s="343"/>
      <c r="L101" s="343"/>
      <c r="M101" s="343"/>
      <c r="N101" s="343"/>
      <c r="O101" s="11"/>
      <c r="P101" s="11"/>
      <c r="Q101" s="11"/>
      <c r="R101" s="11"/>
      <c r="S101" s="11"/>
      <c r="T101" s="11"/>
      <c r="U101" s="11"/>
      <c r="V101" s="11"/>
    </row>
    <row r="102" spans="1:22" s="1" customFormat="1" ht="14.25" customHeight="1" x14ac:dyDescent="0.25">
      <c r="A102" s="33"/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11"/>
      <c r="P102" s="11"/>
      <c r="Q102" s="11"/>
      <c r="R102" s="11"/>
      <c r="S102" s="11"/>
      <c r="T102" s="11"/>
      <c r="U102" s="11"/>
      <c r="V102" s="11"/>
    </row>
    <row r="103" spans="1:22" s="1" customFormat="1" ht="15.75" customHeight="1" x14ac:dyDescent="0.25">
      <c r="A103" s="344" t="s">
        <v>451</v>
      </c>
      <c r="B103" s="307" t="s">
        <v>72</v>
      </c>
      <c r="C103" s="275" t="s">
        <v>68</v>
      </c>
      <c r="D103" s="275"/>
      <c r="E103" s="275"/>
      <c r="F103" s="275" t="s">
        <v>149</v>
      </c>
      <c r="G103" s="275"/>
      <c r="H103" s="275"/>
      <c r="I103" s="275" t="s">
        <v>43</v>
      </c>
      <c r="J103" s="275"/>
      <c r="K103" s="275"/>
      <c r="L103" s="345"/>
      <c r="M103" s="85"/>
      <c r="N103" s="85"/>
      <c r="O103" s="11"/>
      <c r="P103" s="11"/>
      <c r="Q103" s="11"/>
      <c r="R103" s="11"/>
      <c r="S103" s="11"/>
      <c r="T103" s="11"/>
      <c r="U103" s="11"/>
      <c r="V103" s="11"/>
    </row>
    <row r="104" spans="1:22" s="1" customFormat="1" ht="15.75" x14ac:dyDescent="0.25">
      <c r="A104" s="344"/>
      <c r="B104" s="307"/>
      <c r="C104" s="256" t="s">
        <v>399</v>
      </c>
      <c r="D104" s="256" t="s">
        <v>611</v>
      </c>
      <c r="E104" s="256" t="s">
        <v>650</v>
      </c>
      <c r="F104" s="256" t="s">
        <v>399</v>
      </c>
      <c r="G104" s="256" t="s">
        <v>611</v>
      </c>
      <c r="H104" s="256" t="s">
        <v>650</v>
      </c>
      <c r="I104" s="256" t="s">
        <v>399</v>
      </c>
      <c r="J104" s="256" t="s">
        <v>611</v>
      </c>
      <c r="K104" s="256" t="s">
        <v>650</v>
      </c>
      <c r="L104" s="345"/>
      <c r="M104" s="85"/>
      <c r="N104" s="85"/>
      <c r="O104" s="11"/>
      <c r="P104" s="11"/>
      <c r="Q104" s="11"/>
      <c r="R104" s="11"/>
      <c r="S104" s="11"/>
      <c r="T104" s="11"/>
      <c r="U104" s="11"/>
      <c r="V104" s="11"/>
    </row>
    <row r="105" spans="1:22" s="1" customFormat="1" ht="38.25" x14ac:dyDescent="0.25">
      <c r="A105" s="344"/>
      <c r="B105" s="307"/>
      <c r="C105" s="121" t="s">
        <v>44</v>
      </c>
      <c r="D105" s="121" t="s">
        <v>45</v>
      </c>
      <c r="E105" s="121" t="s">
        <v>46</v>
      </c>
      <c r="F105" s="121" t="s">
        <v>44</v>
      </c>
      <c r="G105" s="121" t="s">
        <v>45</v>
      </c>
      <c r="H105" s="121" t="s">
        <v>46</v>
      </c>
      <c r="I105" s="121" t="s">
        <v>44</v>
      </c>
      <c r="J105" s="121" t="s">
        <v>45</v>
      </c>
      <c r="K105" s="121" t="s">
        <v>46</v>
      </c>
      <c r="L105" s="345"/>
      <c r="M105" s="85"/>
      <c r="N105" s="85"/>
      <c r="O105" s="11"/>
      <c r="P105" s="11"/>
      <c r="Q105" s="11"/>
      <c r="R105" s="11"/>
      <c r="S105" s="11"/>
      <c r="T105" s="11"/>
      <c r="U105" s="11"/>
      <c r="V105" s="11"/>
    </row>
    <row r="106" spans="1:22" s="1" customFormat="1" ht="15.75" x14ac:dyDescent="0.25">
      <c r="A106" s="34" t="s">
        <v>190</v>
      </c>
      <c r="B106" s="115" t="s">
        <v>73</v>
      </c>
      <c r="C106" s="115" t="s">
        <v>47</v>
      </c>
      <c r="D106" s="115" t="s">
        <v>48</v>
      </c>
      <c r="E106" s="115" t="s">
        <v>49</v>
      </c>
      <c r="F106" s="115" t="s">
        <v>52</v>
      </c>
      <c r="G106" s="115" t="s">
        <v>53</v>
      </c>
      <c r="H106" s="115" t="s">
        <v>91</v>
      </c>
      <c r="I106" s="115" t="s">
        <v>92</v>
      </c>
      <c r="J106" s="115" t="s">
        <v>93</v>
      </c>
      <c r="K106" s="115" t="s">
        <v>94</v>
      </c>
      <c r="L106" s="203"/>
      <c r="M106" s="85"/>
      <c r="N106" s="85"/>
      <c r="O106" s="11"/>
      <c r="P106" s="11"/>
      <c r="Q106" s="11"/>
      <c r="R106" s="11"/>
      <c r="S106" s="11"/>
      <c r="T106" s="11"/>
      <c r="U106" s="11"/>
      <c r="V106" s="11"/>
    </row>
    <row r="107" spans="1:22" s="1" customFormat="1" ht="15.75" x14ac:dyDescent="0.25">
      <c r="A107" s="126" t="s">
        <v>676</v>
      </c>
      <c r="B107" s="115" t="s">
        <v>98</v>
      </c>
      <c r="C107" s="93">
        <v>1</v>
      </c>
      <c r="D107" s="93">
        <v>1</v>
      </c>
      <c r="E107" s="93">
        <v>1</v>
      </c>
      <c r="F107" s="93">
        <v>1</v>
      </c>
      <c r="G107" s="93">
        <v>1</v>
      </c>
      <c r="H107" s="93">
        <v>1</v>
      </c>
      <c r="I107" s="134">
        <v>170400</v>
      </c>
      <c r="J107" s="134">
        <v>170400</v>
      </c>
      <c r="K107" s="134">
        <v>170400</v>
      </c>
      <c r="L107" s="204"/>
      <c r="M107" s="85"/>
      <c r="N107" s="85"/>
      <c r="O107" s="11"/>
      <c r="P107" s="11"/>
      <c r="Q107" s="11"/>
      <c r="R107" s="11"/>
      <c r="S107" s="11"/>
      <c r="T107" s="11"/>
      <c r="U107" s="11"/>
      <c r="V107" s="11"/>
    </row>
    <row r="108" spans="1:22" s="1" customFormat="1" ht="15.75" x14ac:dyDescent="0.25">
      <c r="A108" s="126" t="s">
        <v>503</v>
      </c>
      <c r="B108" s="256" t="s">
        <v>99</v>
      </c>
      <c r="C108" s="93">
        <v>1</v>
      </c>
      <c r="D108" s="93">
        <v>1</v>
      </c>
      <c r="E108" s="93">
        <v>1</v>
      </c>
      <c r="F108" s="93">
        <v>1</v>
      </c>
      <c r="G108" s="93">
        <v>1</v>
      </c>
      <c r="H108" s="93">
        <v>1</v>
      </c>
      <c r="I108" s="134">
        <v>168120</v>
      </c>
      <c r="J108" s="134">
        <v>168120</v>
      </c>
      <c r="K108" s="134">
        <v>168120</v>
      </c>
      <c r="L108" s="204"/>
      <c r="M108" s="85"/>
      <c r="N108" s="85"/>
      <c r="O108" s="11"/>
      <c r="P108" s="11"/>
      <c r="Q108" s="11"/>
      <c r="R108" s="11"/>
      <c r="S108" s="11"/>
      <c r="T108" s="11"/>
      <c r="U108" s="11"/>
      <c r="V108" s="11"/>
    </row>
    <row r="109" spans="1:22" s="1" customFormat="1" ht="15.75" x14ac:dyDescent="0.25">
      <c r="A109" s="126" t="s">
        <v>504</v>
      </c>
      <c r="B109" s="256" t="s">
        <v>152</v>
      </c>
      <c r="C109" s="93">
        <v>1</v>
      </c>
      <c r="D109" s="93">
        <v>1</v>
      </c>
      <c r="E109" s="93">
        <v>1</v>
      </c>
      <c r="F109" s="93">
        <v>1</v>
      </c>
      <c r="G109" s="93">
        <v>1</v>
      </c>
      <c r="H109" s="93">
        <v>1</v>
      </c>
      <c r="I109" s="134">
        <v>39600</v>
      </c>
      <c r="J109" s="134">
        <v>39600</v>
      </c>
      <c r="K109" s="134">
        <v>39600</v>
      </c>
      <c r="L109" s="204"/>
      <c r="M109" s="85"/>
      <c r="N109" s="85"/>
      <c r="O109" s="11"/>
      <c r="P109" s="11"/>
      <c r="Q109" s="11"/>
      <c r="R109" s="11"/>
      <c r="S109" s="11"/>
      <c r="T109" s="11"/>
      <c r="U109" s="11"/>
      <c r="V109" s="11"/>
    </row>
    <row r="110" spans="1:22" s="1" customFormat="1" ht="25.5" x14ac:dyDescent="0.25">
      <c r="A110" s="126" t="s">
        <v>505</v>
      </c>
      <c r="B110" s="256" t="s">
        <v>154</v>
      </c>
      <c r="C110" s="93">
        <v>1</v>
      </c>
      <c r="D110" s="93">
        <v>1</v>
      </c>
      <c r="E110" s="93">
        <v>1</v>
      </c>
      <c r="F110" s="93">
        <v>1</v>
      </c>
      <c r="G110" s="93">
        <v>1</v>
      </c>
      <c r="H110" s="93">
        <v>1</v>
      </c>
      <c r="I110" s="134">
        <v>15000</v>
      </c>
      <c r="J110" s="134">
        <v>15000</v>
      </c>
      <c r="K110" s="134">
        <v>15000</v>
      </c>
      <c r="L110" s="204"/>
      <c r="M110" s="85"/>
      <c r="N110" s="85"/>
      <c r="O110" s="11"/>
      <c r="P110" s="11"/>
      <c r="Q110" s="11"/>
      <c r="R110" s="11"/>
      <c r="S110" s="11"/>
      <c r="T110" s="11"/>
      <c r="U110" s="11"/>
      <c r="V110" s="11"/>
    </row>
    <row r="111" spans="1:22" s="1" customFormat="1" ht="25.5" x14ac:dyDescent="0.25">
      <c r="A111" s="126" t="s">
        <v>506</v>
      </c>
      <c r="B111" s="256" t="s">
        <v>155</v>
      </c>
      <c r="C111" s="93">
        <v>1</v>
      </c>
      <c r="D111" s="93">
        <v>1</v>
      </c>
      <c r="E111" s="93">
        <v>1</v>
      </c>
      <c r="F111" s="93">
        <v>1</v>
      </c>
      <c r="G111" s="93">
        <v>1</v>
      </c>
      <c r="H111" s="93">
        <v>1</v>
      </c>
      <c r="I111" s="134">
        <v>7845</v>
      </c>
      <c r="J111" s="134">
        <v>7845</v>
      </c>
      <c r="K111" s="134">
        <v>7845</v>
      </c>
      <c r="L111" s="204"/>
      <c r="M111" s="85"/>
      <c r="N111" s="85"/>
      <c r="O111" s="11"/>
      <c r="P111" s="11"/>
      <c r="Q111" s="11"/>
      <c r="R111" s="11"/>
      <c r="S111" s="11"/>
      <c r="T111" s="11"/>
      <c r="U111" s="11"/>
      <c r="V111" s="11"/>
    </row>
    <row r="112" spans="1:22" s="1" customFormat="1" ht="25.5" x14ac:dyDescent="0.25">
      <c r="A112" s="126" t="s">
        <v>677</v>
      </c>
      <c r="B112" s="256" t="s">
        <v>156</v>
      </c>
      <c r="C112" s="93">
        <v>1</v>
      </c>
      <c r="D112" s="93">
        <v>1</v>
      </c>
      <c r="E112" s="93">
        <v>1</v>
      </c>
      <c r="F112" s="93">
        <v>1</v>
      </c>
      <c r="G112" s="93">
        <v>1</v>
      </c>
      <c r="H112" s="93">
        <v>1</v>
      </c>
      <c r="I112" s="134">
        <v>45100</v>
      </c>
      <c r="J112" s="134">
        <v>45100</v>
      </c>
      <c r="K112" s="134">
        <v>45100</v>
      </c>
      <c r="L112" s="204"/>
      <c r="M112" s="85"/>
      <c r="N112" s="85"/>
      <c r="O112" s="11"/>
      <c r="P112" s="11"/>
      <c r="Q112" s="11"/>
      <c r="R112" s="11"/>
      <c r="S112" s="11"/>
      <c r="T112" s="11"/>
      <c r="U112" s="11"/>
      <c r="V112" s="11"/>
    </row>
    <row r="113" spans="1:22" s="1" customFormat="1" ht="25.5" x14ac:dyDescent="0.25">
      <c r="A113" s="126" t="s">
        <v>613</v>
      </c>
      <c r="B113" s="256" t="s">
        <v>157</v>
      </c>
      <c r="C113" s="93">
        <v>1</v>
      </c>
      <c r="D113" s="93">
        <v>1</v>
      </c>
      <c r="E113" s="93">
        <v>1</v>
      </c>
      <c r="F113" s="93">
        <v>1</v>
      </c>
      <c r="G113" s="93">
        <v>1</v>
      </c>
      <c r="H113" s="93">
        <v>1</v>
      </c>
      <c r="I113" s="134">
        <v>160080</v>
      </c>
      <c r="J113" s="134">
        <v>160080</v>
      </c>
      <c r="K113" s="134">
        <v>160080</v>
      </c>
      <c r="L113" s="204"/>
      <c r="M113" s="85"/>
      <c r="N113" s="85"/>
      <c r="O113" s="11"/>
      <c r="P113" s="11"/>
      <c r="Q113" s="11"/>
      <c r="R113" s="11"/>
      <c r="S113" s="11"/>
      <c r="T113" s="11"/>
      <c r="U113" s="11"/>
      <c r="V113" s="11"/>
    </row>
    <row r="114" spans="1:22" s="1" customFormat="1" ht="15.75" x14ac:dyDescent="0.25">
      <c r="A114" s="126" t="s">
        <v>678</v>
      </c>
      <c r="B114" s="256" t="s">
        <v>158</v>
      </c>
      <c r="C114" s="93">
        <v>1</v>
      </c>
      <c r="D114" s="93">
        <v>1</v>
      </c>
      <c r="E114" s="93">
        <v>1</v>
      </c>
      <c r="F114" s="93">
        <v>1</v>
      </c>
      <c r="G114" s="93">
        <v>1</v>
      </c>
      <c r="H114" s="93">
        <v>1</v>
      </c>
      <c r="I114" s="134">
        <v>240000</v>
      </c>
      <c r="J114" s="134">
        <v>240000</v>
      </c>
      <c r="K114" s="134">
        <v>240000</v>
      </c>
      <c r="L114" s="204"/>
      <c r="M114" s="85"/>
      <c r="N114" s="85"/>
      <c r="O114" s="11"/>
      <c r="P114" s="11"/>
      <c r="Q114" s="11"/>
      <c r="R114" s="11"/>
      <c r="S114" s="11"/>
      <c r="T114" s="11"/>
      <c r="U114" s="11"/>
      <c r="V114" s="11"/>
    </row>
    <row r="115" spans="1:22" s="1" customFormat="1" ht="38.25" x14ac:dyDescent="0.25">
      <c r="A115" s="126" t="s">
        <v>684</v>
      </c>
      <c r="B115" s="256" t="s">
        <v>159</v>
      </c>
      <c r="C115" s="93">
        <v>1</v>
      </c>
      <c r="D115" s="93">
        <v>1</v>
      </c>
      <c r="E115" s="93">
        <v>1</v>
      </c>
      <c r="F115" s="93">
        <v>1</v>
      </c>
      <c r="G115" s="93">
        <v>1</v>
      </c>
      <c r="H115" s="93">
        <v>1</v>
      </c>
      <c r="I115" s="134">
        <v>73200</v>
      </c>
      <c r="J115" s="134">
        <v>73200</v>
      </c>
      <c r="K115" s="134">
        <v>73200</v>
      </c>
      <c r="L115" s="204"/>
      <c r="M115" s="85"/>
      <c r="N115" s="85"/>
      <c r="O115" s="11"/>
      <c r="P115" s="11"/>
      <c r="Q115" s="11"/>
      <c r="R115" s="11"/>
      <c r="S115" s="11"/>
      <c r="T115" s="11"/>
      <c r="U115" s="11"/>
      <c r="V115" s="11"/>
    </row>
    <row r="116" spans="1:22" s="1" customFormat="1" ht="15.75" x14ac:dyDescent="0.25">
      <c r="A116" s="126" t="s">
        <v>679</v>
      </c>
      <c r="B116" s="256" t="s">
        <v>160</v>
      </c>
      <c r="C116" s="93">
        <v>1</v>
      </c>
      <c r="D116" s="93">
        <v>1</v>
      </c>
      <c r="E116" s="93">
        <v>1</v>
      </c>
      <c r="F116" s="93">
        <v>1</v>
      </c>
      <c r="G116" s="93">
        <v>1</v>
      </c>
      <c r="H116" s="93">
        <v>1</v>
      </c>
      <c r="I116" s="134">
        <v>50000</v>
      </c>
      <c r="J116" s="134">
        <v>50000</v>
      </c>
      <c r="K116" s="134">
        <v>50000</v>
      </c>
      <c r="L116" s="204"/>
      <c r="M116" s="85"/>
      <c r="N116" s="85"/>
      <c r="O116" s="11"/>
      <c r="P116" s="11"/>
      <c r="Q116" s="11"/>
      <c r="R116" s="11"/>
      <c r="S116" s="11"/>
      <c r="T116" s="11"/>
      <c r="U116" s="11"/>
      <c r="V116" s="11"/>
    </row>
    <row r="117" spans="1:22" s="1" customFormat="1" ht="15.75" x14ac:dyDescent="0.25">
      <c r="A117" s="126" t="s">
        <v>534</v>
      </c>
      <c r="B117" s="256" t="s">
        <v>161</v>
      </c>
      <c r="C117" s="93">
        <v>1</v>
      </c>
      <c r="D117" s="93">
        <v>1</v>
      </c>
      <c r="E117" s="93">
        <v>1</v>
      </c>
      <c r="F117" s="93">
        <v>1</v>
      </c>
      <c r="G117" s="93">
        <v>1</v>
      </c>
      <c r="H117" s="93">
        <v>1</v>
      </c>
      <c r="I117" s="134">
        <v>204000</v>
      </c>
      <c r="J117" s="134">
        <v>204000</v>
      </c>
      <c r="K117" s="134">
        <v>204000</v>
      </c>
      <c r="L117" s="204"/>
      <c r="M117" s="85"/>
      <c r="N117" s="85"/>
      <c r="O117" s="11"/>
      <c r="P117" s="11"/>
      <c r="Q117" s="11"/>
      <c r="R117" s="11"/>
      <c r="S117" s="11"/>
      <c r="T117" s="11"/>
      <c r="U117" s="11"/>
      <c r="V117" s="11"/>
    </row>
    <row r="118" spans="1:22" s="1" customFormat="1" ht="15.75" x14ac:dyDescent="0.25">
      <c r="A118" s="126" t="s">
        <v>680</v>
      </c>
      <c r="B118" s="256" t="s">
        <v>162</v>
      </c>
      <c r="C118" s="93">
        <v>1</v>
      </c>
      <c r="D118" s="93">
        <v>1</v>
      </c>
      <c r="E118" s="93">
        <v>1</v>
      </c>
      <c r="F118" s="93">
        <v>1</v>
      </c>
      <c r="G118" s="93">
        <v>1</v>
      </c>
      <c r="H118" s="93">
        <v>1</v>
      </c>
      <c r="I118" s="134">
        <v>60000</v>
      </c>
      <c r="J118" s="134">
        <v>60000</v>
      </c>
      <c r="K118" s="134">
        <v>60000</v>
      </c>
      <c r="L118" s="204"/>
      <c r="M118" s="85"/>
      <c r="N118" s="85"/>
      <c r="O118" s="11"/>
      <c r="P118" s="11"/>
      <c r="Q118" s="11"/>
      <c r="R118" s="11"/>
      <c r="S118" s="11"/>
      <c r="T118" s="11"/>
      <c r="U118" s="11"/>
      <c r="V118" s="11"/>
    </row>
    <row r="119" spans="1:22" s="1" customFormat="1" ht="38.25" x14ac:dyDescent="0.25">
      <c r="A119" s="126" t="s">
        <v>681</v>
      </c>
      <c r="B119" s="256" t="s">
        <v>163</v>
      </c>
      <c r="C119" s="93">
        <v>1</v>
      </c>
      <c r="D119" s="93">
        <v>1</v>
      </c>
      <c r="E119" s="93">
        <v>1</v>
      </c>
      <c r="F119" s="93">
        <v>1</v>
      </c>
      <c r="G119" s="93">
        <v>1</v>
      </c>
      <c r="H119" s="93">
        <v>1</v>
      </c>
      <c r="I119" s="134">
        <v>99999.999999999985</v>
      </c>
      <c r="J119" s="134">
        <v>99999.999999999985</v>
      </c>
      <c r="K119" s="134">
        <v>99999.999999999985</v>
      </c>
      <c r="L119" s="204"/>
      <c r="M119" s="85"/>
      <c r="N119" s="85"/>
      <c r="O119" s="11"/>
      <c r="P119" s="11"/>
      <c r="Q119" s="11"/>
      <c r="R119" s="11"/>
      <c r="S119" s="11"/>
      <c r="T119" s="11"/>
      <c r="U119" s="11"/>
      <c r="V119" s="11"/>
    </row>
    <row r="120" spans="1:22" s="1" customFormat="1" ht="15.75" x14ac:dyDescent="0.25">
      <c r="A120" s="126" t="s">
        <v>682</v>
      </c>
      <c r="B120" s="256" t="s">
        <v>164</v>
      </c>
      <c r="C120" s="93">
        <v>1</v>
      </c>
      <c r="D120" s="93">
        <v>1</v>
      </c>
      <c r="E120" s="93">
        <v>1</v>
      </c>
      <c r="F120" s="93">
        <v>1</v>
      </c>
      <c r="G120" s="93">
        <v>1</v>
      </c>
      <c r="H120" s="93">
        <v>1</v>
      </c>
      <c r="I120" s="134">
        <v>30000</v>
      </c>
      <c r="J120" s="134">
        <v>30000</v>
      </c>
      <c r="K120" s="134">
        <v>30000</v>
      </c>
      <c r="L120" s="204"/>
      <c r="M120" s="85"/>
      <c r="N120" s="85"/>
      <c r="O120" s="11"/>
      <c r="P120" s="11"/>
      <c r="Q120" s="11"/>
      <c r="R120" s="11"/>
      <c r="S120" s="11"/>
      <c r="T120" s="11"/>
      <c r="U120" s="11"/>
      <c r="V120" s="11"/>
    </row>
    <row r="121" spans="1:22" s="1" customFormat="1" ht="25.5" x14ac:dyDescent="0.25">
      <c r="A121" s="126" t="s">
        <v>535</v>
      </c>
      <c r="B121" s="256" t="s">
        <v>165</v>
      </c>
      <c r="C121" s="93">
        <v>1</v>
      </c>
      <c r="D121" s="93">
        <v>1</v>
      </c>
      <c r="E121" s="93">
        <v>1</v>
      </c>
      <c r="F121" s="93">
        <v>1</v>
      </c>
      <c r="G121" s="93">
        <v>1</v>
      </c>
      <c r="H121" s="93">
        <v>1</v>
      </c>
      <c r="I121" s="134">
        <v>14000.000000000002</v>
      </c>
      <c r="J121" s="134">
        <v>14000.000000000002</v>
      </c>
      <c r="K121" s="134">
        <v>14000.000000000002</v>
      </c>
      <c r="L121" s="204"/>
      <c r="M121" s="85"/>
      <c r="N121" s="85"/>
      <c r="O121" s="11"/>
      <c r="P121" s="11"/>
      <c r="Q121" s="11"/>
      <c r="R121" s="11"/>
      <c r="S121" s="11"/>
      <c r="T121" s="11"/>
      <c r="U121" s="11"/>
      <c r="V121" s="11"/>
    </row>
    <row r="122" spans="1:22" s="1" customFormat="1" ht="25.5" x14ac:dyDescent="0.25">
      <c r="A122" s="126" t="s">
        <v>618</v>
      </c>
      <c r="B122" s="256" t="s">
        <v>166</v>
      </c>
      <c r="C122" s="93">
        <v>1</v>
      </c>
      <c r="D122" s="93">
        <v>1</v>
      </c>
      <c r="E122" s="93">
        <v>1</v>
      </c>
      <c r="F122" s="93">
        <v>1</v>
      </c>
      <c r="G122" s="93">
        <v>1</v>
      </c>
      <c r="H122" s="93">
        <v>1</v>
      </c>
      <c r="I122" s="134">
        <v>250000</v>
      </c>
      <c r="J122" s="134">
        <v>250000</v>
      </c>
      <c r="K122" s="134">
        <v>250000</v>
      </c>
      <c r="L122" s="204"/>
      <c r="M122" s="85"/>
      <c r="N122" s="85"/>
      <c r="O122" s="11"/>
      <c r="P122" s="11"/>
      <c r="Q122" s="11"/>
      <c r="R122" s="11"/>
      <c r="S122" s="11"/>
      <c r="T122" s="11"/>
      <c r="U122" s="11"/>
      <c r="V122" s="11"/>
    </row>
    <row r="123" spans="1:22" s="1" customFormat="1" ht="15.75" x14ac:dyDescent="0.25">
      <c r="A123" s="34" t="s">
        <v>427</v>
      </c>
      <c r="B123" s="115" t="s">
        <v>1</v>
      </c>
      <c r="C123" s="115" t="s">
        <v>1</v>
      </c>
      <c r="D123" s="115" t="s">
        <v>1</v>
      </c>
      <c r="E123" s="115" t="s">
        <v>1</v>
      </c>
      <c r="F123" s="115" t="s">
        <v>1</v>
      </c>
      <c r="G123" s="115" t="s">
        <v>1</v>
      </c>
      <c r="H123" s="115" t="s">
        <v>1</v>
      </c>
      <c r="I123" s="94">
        <f>SUM(I107:I122)</f>
        <v>1627345</v>
      </c>
      <c r="J123" s="94">
        <f>SUM(J107:J122)</f>
        <v>1627345</v>
      </c>
      <c r="K123" s="94">
        <f>SUM(K107:K122)</f>
        <v>1627345</v>
      </c>
      <c r="L123" s="205"/>
      <c r="M123" s="85"/>
      <c r="N123" s="85"/>
      <c r="O123" s="11"/>
      <c r="P123" s="11"/>
      <c r="Q123" s="11"/>
      <c r="R123" s="11"/>
      <c r="S123" s="11"/>
      <c r="T123" s="11"/>
      <c r="U123" s="11"/>
      <c r="V123" s="11"/>
    </row>
    <row r="124" spans="1:22" s="1" customFormat="1" ht="15.75" x14ac:dyDescent="0.25">
      <c r="A124" s="33"/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11"/>
      <c r="P124" s="11"/>
      <c r="Q124" s="11"/>
      <c r="R124" s="11"/>
      <c r="S124" s="11"/>
      <c r="T124" s="11"/>
      <c r="U124" s="11"/>
      <c r="V124" s="11"/>
    </row>
    <row r="125" spans="1:22" ht="18" customHeight="1" x14ac:dyDescent="0.2">
      <c r="A125" s="343" t="s">
        <v>669</v>
      </c>
      <c r="B125" s="343"/>
      <c r="C125" s="343"/>
      <c r="D125" s="343"/>
      <c r="E125" s="343"/>
      <c r="F125" s="343"/>
      <c r="G125" s="343"/>
      <c r="H125" s="343"/>
      <c r="I125" s="343"/>
      <c r="J125" s="343"/>
      <c r="K125" s="343"/>
      <c r="L125" s="343"/>
      <c r="M125" s="343"/>
      <c r="N125" s="343"/>
    </row>
    <row r="126" spans="1:22" hidden="1" x14ac:dyDescent="0.2">
      <c r="A126" s="32"/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73"/>
      <c r="M126" s="73"/>
      <c r="N126" s="73"/>
    </row>
    <row r="127" spans="1:22" ht="15.75" hidden="1" customHeight="1" x14ac:dyDescent="0.2">
      <c r="A127" s="344" t="s">
        <v>451</v>
      </c>
      <c r="B127" s="307" t="s">
        <v>72</v>
      </c>
      <c r="C127" s="308" t="s">
        <v>544</v>
      </c>
      <c r="D127" s="308"/>
      <c r="E127" s="308"/>
      <c r="F127" s="307" t="s">
        <v>205</v>
      </c>
      <c r="G127" s="307"/>
      <c r="H127" s="307"/>
      <c r="I127" s="305" t="s">
        <v>43</v>
      </c>
      <c r="J127" s="305"/>
      <c r="K127" s="305"/>
      <c r="L127" s="345"/>
      <c r="M127" s="73"/>
      <c r="N127" s="73"/>
    </row>
    <row r="128" spans="1:22" hidden="1" x14ac:dyDescent="0.2">
      <c r="A128" s="344"/>
      <c r="B128" s="307"/>
      <c r="C128" s="256" t="s">
        <v>399</v>
      </c>
      <c r="D128" s="256" t="s">
        <v>611</v>
      </c>
      <c r="E128" s="256" t="s">
        <v>650</v>
      </c>
      <c r="F128" s="256" t="s">
        <v>399</v>
      </c>
      <c r="G128" s="256" t="s">
        <v>611</v>
      </c>
      <c r="H128" s="256" t="s">
        <v>650</v>
      </c>
      <c r="I128" s="256" t="s">
        <v>399</v>
      </c>
      <c r="J128" s="256" t="s">
        <v>611</v>
      </c>
      <c r="K128" s="256" t="s">
        <v>650</v>
      </c>
      <c r="L128" s="345"/>
      <c r="M128" s="73"/>
      <c r="N128" s="73"/>
    </row>
    <row r="129" spans="1:14" ht="38.25" hidden="1" x14ac:dyDescent="0.2">
      <c r="A129" s="344"/>
      <c r="B129" s="307"/>
      <c r="C129" s="121" t="s">
        <v>44</v>
      </c>
      <c r="D129" s="122" t="s">
        <v>45</v>
      </c>
      <c r="E129" s="122" t="s">
        <v>46</v>
      </c>
      <c r="F129" s="121" t="s">
        <v>44</v>
      </c>
      <c r="G129" s="122" t="s">
        <v>45</v>
      </c>
      <c r="H129" s="122" t="s">
        <v>46</v>
      </c>
      <c r="I129" s="121" t="s">
        <v>44</v>
      </c>
      <c r="J129" s="122" t="s">
        <v>45</v>
      </c>
      <c r="K129" s="122" t="s">
        <v>46</v>
      </c>
      <c r="L129" s="345"/>
      <c r="M129" s="73"/>
      <c r="N129" s="73"/>
    </row>
    <row r="130" spans="1:14" hidden="1" x14ac:dyDescent="0.2">
      <c r="A130" s="34" t="s">
        <v>190</v>
      </c>
      <c r="B130" s="115" t="s">
        <v>73</v>
      </c>
      <c r="C130" s="115" t="s">
        <v>47</v>
      </c>
      <c r="D130" s="115" t="s">
        <v>48</v>
      </c>
      <c r="E130" s="115" t="s">
        <v>49</v>
      </c>
      <c r="F130" s="115" t="s">
        <v>52</v>
      </c>
      <c r="G130" s="115" t="s">
        <v>53</v>
      </c>
      <c r="H130" s="115" t="s">
        <v>91</v>
      </c>
      <c r="I130" s="115" t="s">
        <v>92</v>
      </c>
      <c r="J130" s="115" t="s">
        <v>93</v>
      </c>
      <c r="K130" s="115" t="s">
        <v>94</v>
      </c>
      <c r="L130" s="203"/>
      <c r="M130" s="73"/>
      <c r="N130" s="73"/>
    </row>
    <row r="131" spans="1:14" hidden="1" x14ac:dyDescent="0.2">
      <c r="A131" s="42"/>
      <c r="B131" s="115" t="s">
        <v>98</v>
      </c>
      <c r="C131" s="93"/>
      <c r="D131" s="93"/>
      <c r="E131" s="93"/>
      <c r="F131" s="115"/>
      <c r="G131" s="115"/>
      <c r="H131" s="115"/>
      <c r="I131" s="115"/>
      <c r="J131" s="115"/>
      <c r="K131" s="115"/>
      <c r="L131" s="204"/>
      <c r="M131" s="73"/>
      <c r="N131" s="73"/>
    </row>
    <row r="132" spans="1:14" ht="14.25" hidden="1" customHeight="1" x14ac:dyDescent="0.2">
      <c r="A132" s="42"/>
      <c r="B132" s="230" t="s">
        <v>99</v>
      </c>
      <c r="C132" s="93"/>
      <c r="D132" s="93"/>
      <c r="E132" s="93"/>
      <c r="F132" s="230"/>
      <c r="G132" s="230"/>
      <c r="H132" s="230"/>
      <c r="I132" s="230"/>
      <c r="J132" s="230"/>
      <c r="K132" s="230"/>
      <c r="L132" s="204"/>
      <c r="M132" s="73"/>
      <c r="N132" s="73"/>
    </row>
    <row r="133" spans="1:14" ht="27.75" hidden="1" customHeight="1" x14ac:dyDescent="0.2">
      <c r="A133" s="19"/>
      <c r="B133" s="242" t="s">
        <v>152</v>
      </c>
      <c r="C133" s="93"/>
      <c r="D133" s="93"/>
      <c r="E133" s="93"/>
      <c r="F133" s="242"/>
      <c r="G133" s="242"/>
      <c r="H133" s="242"/>
      <c r="I133" s="242"/>
      <c r="J133" s="242"/>
      <c r="K133" s="242"/>
      <c r="L133" s="204"/>
      <c r="M133" s="73"/>
      <c r="N133" s="73"/>
    </row>
    <row r="134" spans="1:14" hidden="1" x14ac:dyDescent="0.2">
      <c r="A134" s="34" t="s">
        <v>427</v>
      </c>
      <c r="B134" s="115" t="s">
        <v>1</v>
      </c>
      <c r="C134" s="115" t="s">
        <v>1</v>
      </c>
      <c r="D134" s="115" t="s">
        <v>1</v>
      </c>
      <c r="E134" s="115" t="s">
        <v>1</v>
      </c>
      <c r="F134" s="115" t="s">
        <v>1</v>
      </c>
      <c r="G134" s="115" t="s">
        <v>1</v>
      </c>
      <c r="H134" s="115" t="s">
        <v>1</v>
      </c>
      <c r="I134" s="30">
        <f>SUM(I131:I133)</f>
        <v>0</v>
      </c>
      <c r="J134" s="30">
        <f>SUM(J131:J131)</f>
        <v>0</v>
      </c>
      <c r="K134" s="30">
        <f>SUM(K131:K131)</f>
        <v>0</v>
      </c>
      <c r="L134" s="205"/>
      <c r="M134" s="73"/>
      <c r="N134" s="73"/>
    </row>
    <row r="135" spans="1:14" ht="4.5" customHeight="1" x14ac:dyDescent="0.2">
      <c r="A135" s="132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</row>
    <row r="136" spans="1:14" ht="19.5" customHeight="1" x14ac:dyDescent="0.2">
      <c r="A136" s="349" t="s">
        <v>670</v>
      </c>
      <c r="B136" s="349"/>
      <c r="C136" s="349"/>
      <c r="D136" s="349"/>
      <c r="E136" s="349"/>
      <c r="F136" s="349"/>
      <c r="G136" s="349"/>
      <c r="H136" s="349"/>
      <c r="I136" s="349"/>
      <c r="J136" s="349"/>
      <c r="K136" s="349"/>
      <c r="L136" s="73"/>
      <c r="M136" s="138"/>
      <c r="N136" s="73"/>
    </row>
    <row r="137" spans="1:14" ht="6" customHeight="1" x14ac:dyDescent="0.2">
      <c r="A137" s="132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</row>
    <row r="138" spans="1:14" ht="18.75" customHeight="1" x14ac:dyDescent="0.2">
      <c r="A138" s="343" t="s">
        <v>671</v>
      </c>
      <c r="B138" s="343"/>
      <c r="C138" s="343"/>
      <c r="D138" s="343"/>
      <c r="E138" s="343"/>
      <c r="F138" s="343"/>
      <c r="G138" s="343"/>
      <c r="H138" s="343"/>
      <c r="I138" s="343"/>
      <c r="J138" s="343"/>
      <c r="K138" s="343"/>
      <c r="L138" s="343"/>
      <c r="M138" s="343"/>
      <c r="N138" s="343"/>
    </row>
    <row r="139" spans="1:14" ht="13.5" hidden="1" customHeight="1" x14ac:dyDescent="0.2">
      <c r="A139" s="32"/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73"/>
      <c r="M139" s="73"/>
      <c r="N139" s="73"/>
    </row>
    <row r="140" spans="1:14" hidden="1" x14ac:dyDescent="0.2">
      <c r="A140" s="344" t="s">
        <v>451</v>
      </c>
      <c r="B140" s="307" t="s">
        <v>72</v>
      </c>
      <c r="C140" s="308" t="s">
        <v>204</v>
      </c>
      <c r="D140" s="308"/>
      <c r="E140" s="308"/>
      <c r="F140" s="307" t="s">
        <v>205</v>
      </c>
      <c r="G140" s="307"/>
      <c r="H140" s="307"/>
      <c r="I140" s="305" t="s">
        <v>43</v>
      </c>
      <c r="J140" s="305"/>
      <c r="K140" s="305"/>
      <c r="L140" s="73"/>
      <c r="M140" s="73"/>
      <c r="N140" s="73"/>
    </row>
    <row r="141" spans="1:14" hidden="1" x14ac:dyDescent="0.2">
      <c r="A141" s="344"/>
      <c r="B141" s="307"/>
      <c r="C141" s="115" t="s">
        <v>8</v>
      </c>
      <c r="D141" s="115" t="s">
        <v>9</v>
      </c>
      <c r="E141" s="115" t="s">
        <v>399</v>
      </c>
      <c r="F141" s="115" t="s">
        <v>8</v>
      </c>
      <c r="G141" s="115" t="s">
        <v>9</v>
      </c>
      <c r="H141" s="115" t="s">
        <v>399</v>
      </c>
      <c r="I141" s="115" t="s">
        <v>8</v>
      </c>
      <c r="J141" s="115" t="s">
        <v>9</v>
      </c>
      <c r="K141" s="115" t="s">
        <v>399</v>
      </c>
      <c r="L141" s="73"/>
      <c r="M141" s="73"/>
      <c r="N141" s="73"/>
    </row>
    <row r="142" spans="1:14" ht="38.25" hidden="1" x14ac:dyDescent="0.2">
      <c r="A142" s="344"/>
      <c r="B142" s="307"/>
      <c r="C142" s="121" t="s">
        <v>44</v>
      </c>
      <c r="D142" s="122" t="s">
        <v>45</v>
      </c>
      <c r="E142" s="122" t="s">
        <v>46</v>
      </c>
      <c r="F142" s="121" t="s">
        <v>44</v>
      </c>
      <c r="G142" s="122" t="s">
        <v>45</v>
      </c>
      <c r="H142" s="122" t="s">
        <v>46</v>
      </c>
      <c r="I142" s="121" t="s">
        <v>44</v>
      </c>
      <c r="J142" s="122" t="s">
        <v>45</v>
      </c>
      <c r="K142" s="122" t="s">
        <v>46</v>
      </c>
      <c r="L142" s="73"/>
      <c r="M142" s="73"/>
      <c r="N142" s="73"/>
    </row>
    <row r="143" spans="1:14" hidden="1" x14ac:dyDescent="0.2">
      <c r="A143" s="34" t="s">
        <v>190</v>
      </c>
      <c r="B143" s="115" t="s">
        <v>73</v>
      </c>
      <c r="C143" s="115" t="s">
        <v>47</v>
      </c>
      <c r="D143" s="115" t="s">
        <v>48</v>
      </c>
      <c r="E143" s="115" t="s">
        <v>49</v>
      </c>
      <c r="F143" s="115" t="s">
        <v>52</v>
      </c>
      <c r="G143" s="115" t="s">
        <v>53</v>
      </c>
      <c r="H143" s="115" t="s">
        <v>91</v>
      </c>
      <c r="I143" s="115" t="s">
        <v>92</v>
      </c>
      <c r="J143" s="115" t="s">
        <v>93</v>
      </c>
      <c r="K143" s="115" t="s">
        <v>94</v>
      </c>
      <c r="L143" s="73"/>
      <c r="M143" s="73"/>
      <c r="N143" s="73"/>
    </row>
    <row r="144" spans="1:14" hidden="1" x14ac:dyDescent="0.2">
      <c r="A144" s="42"/>
      <c r="B144" s="115" t="s">
        <v>98</v>
      </c>
      <c r="C144" s="36"/>
      <c r="D144" s="36"/>
      <c r="E144" s="36"/>
      <c r="F144" s="36"/>
      <c r="G144" s="36"/>
      <c r="H144" s="36"/>
      <c r="I144" s="36">
        <f>C144*F144</f>
        <v>0</v>
      </c>
      <c r="J144" s="36">
        <f t="shared" ref="J144" si="14">D144*G144</f>
        <v>0</v>
      </c>
      <c r="K144" s="36">
        <f t="shared" ref="K144" si="15">E144*H144</f>
        <v>0</v>
      </c>
      <c r="L144" s="73"/>
      <c r="M144" s="73"/>
      <c r="N144" s="73"/>
    </row>
    <row r="145" spans="1:14" hidden="1" x14ac:dyDescent="0.2">
      <c r="A145" s="34" t="s">
        <v>427</v>
      </c>
      <c r="B145" s="115" t="s">
        <v>1</v>
      </c>
      <c r="C145" s="115" t="s">
        <v>1</v>
      </c>
      <c r="D145" s="115" t="s">
        <v>1</v>
      </c>
      <c r="E145" s="115" t="s">
        <v>1</v>
      </c>
      <c r="F145" s="115" t="s">
        <v>1</v>
      </c>
      <c r="G145" s="115" t="s">
        <v>1</v>
      </c>
      <c r="H145" s="115" t="s">
        <v>1</v>
      </c>
      <c r="I145" s="88">
        <f>SUM(I144:I144)</f>
        <v>0</v>
      </c>
      <c r="J145" s="88">
        <f>SUM(J144:J144)</f>
        <v>0</v>
      </c>
      <c r="K145" s="88">
        <f>SUM(K144:K144)</f>
        <v>0</v>
      </c>
      <c r="L145" s="73"/>
      <c r="M145" s="73"/>
      <c r="N145" s="73"/>
    </row>
    <row r="146" spans="1:14" ht="8.25" customHeight="1" x14ac:dyDescent="0.2">
      <c r="A146" s="132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</row>
    <row r="147" spans="1:14" ht="18.75" customHeight="1" x14ac:dyDescent="0.2">
      <c r="A147" s="343" t="s">
        <v>636</v>
      </c>
      <c r="B147" s="343"/>
      <c r="C147" s="343"/>
      <c r="D147" s="343"/>
      <c r="E147" s="343"/>
      <c r="F147" s="343"/>
      <c r="G147" s="343"/>
      <c r="H147" s="343"/>
      <c r="I147" s="343"/>
      <c r="J147" s="343"/>
      <c r="K147" s="343"/>
      <c r="L147" s="343"/>
      <c r="M147" s="343"/>
      <c r="N147" s="343"/>
    </row>
    <row r="148" spans="1:14" ht="9.75" customHeight="1" x14ac:dyDescent="0.2">
      <c r="A148" s="32"/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73"/>
      <c r="M148" s="73"/>
      <c r="N148" s="73"/>
    </row>
    <row r="149" spans="1:14" x14ac:dyDescent="0.2">
      <c r="A149" s="344" t="s">
        <v>451</v>
      </c>
      <c r="B149" s="307" t="s">
        <v>72</v>
      </c>
      <c r="C149" s="308" t="s">
        <v>545</v>
      </c>
      <c r="D149" s="308"/>
      <c r="E149" s="308"/>
      <c r="F149" s="307" t="s">
        <v>205</v>
      </c>
      <c r="G149" s="307"/>
      <c r="H149" s="307"/>
      <c r="I149" s="305" t="s">
        <v>43</v>
      </c>
      <c r="J149" s="305"/>
      <c r="K149" s="305"/>
      <c r="L149" s="345"/>
      <c r="M149" s="73"/>
      <c r="N149" s="73"/>
    </row>
    <row r="150" spans="1:14" x14ac:dyDescent="0.2">
      <c r="A150" s="344"/>
      <c r="B150" s="307"/>
      <c r="C150" s="256" t="s">
        <v>399</v>
      </c>
      <c r="D150" s="256" t="s">
        <v>611</v>
      </c>
      <c r="E150" s="256" t="s">
        <v>650</v>
      </c>
      <c r="F150" s="256" t="s">
        <v>399</v>
      </c>
      <c r="G150" s="256" t="s">
        <v>611</v>
      </c>
      <c r="H150" s="256" t="s">
        <v>650</v>
      </c>
      <c r="I150" s="256" t="s">
        <v>399</v>
      </c>
      <c r="J150" s="256" t="s">
        <v>611</v>
      </c>
      <c r="K150" s="256" t="s">
        <v>650</v>
      </c>
      <c r="L150" s="345"/>
      <c r="M150" s="73"/>
      <c r="N150" s="73"/>
    </row>
    <row r="151" spans="1:14" ht="38.25" x14ac:dyDescent="0.2">
      <c r="A151" s="344"/>
      <c r="B151" s="307"/>
      <c r="C151" s="121" t="s">
        <v>44</v>
      </c>
      <c r="D151" s="122" t="s">
        <v>45</v>
      </c>
      <c r="E151" s="122" t="s">
        <v>46</v>
      </c>
      <c r="F151" s="121" t="s">
        <v>44</v>
      </c>
      <c r="G151" s="122" t="s">
        <v>45</v>
      </c>
      <c r="H151" s="122" t="s">
        <v>46</v>
      </c>
      <c r="I151" s="121" t="s">
        <v>44</v>
      </c>
      <c r="J151" s="122" t="s">
        <v>45</v>
      </c>
      <c r="K151" s="122" t="s">
        <v>46</v>
      </c>
      <c r="L151" s="345"/>
      <c r="M151" s="73"/>
      <c r="N151" s="73"/>
    </row>
    <row r="152" spans="1:14" x14ac:dyDescent="0.2">
      <c r="A152" s="34" t="s">
        <v>190</v>
      </c>
      <c r="B152" s="115" t="s">
        <v>73</v>
      </c>
      <c r="C152" s="115" t="s">
        <v>47</v>
      </c>
      <c r="D152" s="115" t="s">
        <v>48</v>
      </c>
      <c r="E152" s="115" t="s">
        <v>49</v>
      </c>
      <c r="F152" s="115" t="s">
        <v>52</v>
      </c>
      <c r="G152" s="115" t="s">
        <v>53</v>
      </c>
      <c r="H152" s="115" t="s">
        <v>91</v>
      </c>
      <c r="I152" s="115" t="s">
        <v>92</v>
      </c>
      <c r="J152" s="115" t="s">
        <v>93</v>
      </c>
      <c r="K152" s="115" t="s">
        <v>94</v>
      </c>
      <c r="L152" s="203"/>
      <c r="M152" s="73"/>
      <c r="N152" s="73"/>
    </row>
    <row r="153" spans="1:14" ht="15.75" customHeight="1" x14ac:dyDescent="0.2">
      <c r="A153" s="42" t="s">
        <v>543</v>
      </c>
      <c r="B153" s="115" t="s">
        <v>98</v>
      </c>
      <c r="C153" s="93">
        <v>4000</v>
      </c>
      <c r="D153" s="93">
        <v>4000</v>
      </c>
      <c r="E153" s="93">
        <v>4000</v>
      </c>
      <c r="F153" s="115">
        <v>50</v>
      </c>
      <c r="G153" s="256">
        <v>50</v>
      </c>
      <c r="H153" s="256">
        <v>50</v>
      </c>
      <c r="I153" s="115">
        <f>C153*F153</f>
        <v>200000</v>
      </c>
      <c r="J153" s="238">
        <f>D153*G153</f>
        <v>200000</v>
      </c>
      <c r="K153" s="238">
        <f t="shared" ref="K153" si="16">E153*H153</f>
        <v>200000</v>
      </c>
      <c r="L153" s="204"/>
      <c r="M153" s="73"/>
      <c r="N153" s="73"/>
    </row>
    <row r="154" spans="1:14" ht="13.5" customHeight="1" x14ac:dyDescent="0.2">
      <c r="A154" s="34" t="s">
        <v>427</v>
      </c>
      <c r="B154" s="115" t="s">
        <v>1</v>
      </c>
      <c r="C154" s="115" t="s">
        <v>1</v>
      </c>
      <c r="D154" s="115" t="s">
        <v>1</v>
      </c>
      <c r="E154" s="115" t="s">
        <v>1</v>
      </c>
      <c r="F154" s="115" t="s">
        <v>1</v>
      </c>
      <c r="G154" s="115" t="s">
        <v>1</v>
      </c>
      <c r="H154" s="115" t="s">
        <v>1</v>
      </c>
      <c r="I154" s="30">
        <f>SUM(I153:I153)</f>
        <v>200000</v>
      </c>
      <c r="J154" s="30">
        <f>SUM(J153:J153)</f>
        <v>200000</v>
      </c>
      <c r="K154" s="30">
        <f>SUM(K153:K153)</f>
        <v>200000</v>
      </c>
      <c r="L154" s="205"/>
      <c r="M154" s="73"/>
      <c r="N154" s="73"/>
    </row>
    <row r="155" spans="1:14" x14ac:dyDescent="0.2">
      <c r="A155" s="132"/>
      <c r="B155" s="73"/>
      <c r="C155" s="73"/>
      <c r="D155" s="73"/>
      <c r="E155" s="73"/>
      <c r="F155" s="73"/>
      <c r="G155" s="73"/>
      <c r="H155" s="73"/>
      <c r="I155" s="73"/>
      <c r="J155" s="138"/>
      <c r="K155" s="73"/>
      <c r="L155" s="73"/>
      <c r="M155" s="73"/>
      <c r="N155" s="73"/>
    </row>
    <row r="156" spans="1:14" ht="18.75" customHeight="1" x14ac:dyDescent="0.2">
      <c r="A156" s="343" t="s">
        <v>672</v>
      </c>
      <c r="B156" s="343"/>
      <c r="C156" s="343"/>
      <c r="D156" s="343"/>
      <c r="E156" s="343"/>
      <c r="F156" s="343"/>
      <c r="G156" s="343"/>
      <c r="H156" s="343"/>
      <c r="I156" s="343"/>
      <c r="J156" s="343"/>
      <c r="K156" s="343"/>
      <c r="L156" s="343"/>
      <c r="M156" s="343"/>
      <c r="N156" s="343"/>
    </row>
    <row r="157" spans="1:14" hidden="1" x14ac:dyDescent="0.2">
      <c r="A157" s="32"/>
      <c r="B157" s="85"/>
      <c r="C157" s="85"/>
      <c r="D157" s="85"/>
      <c r="E157" s="85"/>
      <c r="F157" s="85"/>
      <c r="G157" s="85"/>
      <c r="H157" s="85"/>
      <c r="I157" s="85"/>
      <c r="J157" s="85"/>
      <c r="K157" s="85"/>
      <c r="L157" s="73"/>
      <c r="M157" s="73"/>
      <c r="N157" s="73"/>
    </row>
    <row r="158" spans="1:14" hidden="1" x14ac:dyDescent="0.2">
      <c r="A158" s="344" t="s">
        <v>451</v>
      </c>
      <c r="B158" s="307" t="s">
        <v>72</v>
      </c>
      <c r="C158" s="308" t="s">
        <v>204</v>
      </c>
      <c r="D158" s="308"/>
      <c r="E158" s="308"/>
      <c r="F158" s="307" t="s">
        <v>205</v>
      </c>
      <c r="G158" s="307"/>
      <c r="H158" s="307"/>
      <c r="I158" s="305" t="s">
        <v>43</v>
      </c>
      <c r="J158" s="305"/>
      <c r="K158" s="305"/>
      <c r="L158" s="73"/>
      <c r="M158" s="73"/>
      <c r="N158" s="73"/>
    </row>
    <row r="159" spans="1:14" hidden="1" x14ac:dyDescent="0.2">
      <c r="A159" s="344"/>
      <c r="B159" s="307"/>
      <c r="C159" s="115" t="s">
        <v>8</v>
      </c>
      <c r="D159" s="115" t="s">
        <v>9</v>
      </c>
      <c r="E159" s="115" t="s">
        <v>399</v>
      </c>
      <c r="F159" s="115" t="s">
        <v>8</v>
      </c>
      <c r="G159" s="115" t="s">
        <v>9</v>
      </c>
      <c r="H159" s="115" t="s">
        <v>399</v>
      </c>
      <c r="I159" s="115" t="s">
        <v>8</v>
      </c>
      <c r="J159" s="115" t="s">
        <v>9</v>
      </c>
      <c r="K159" s="115" t="s">
        <v>399</v>
      </c>
      <c r="L159" s="73"/>
      <c r="M159" s="73"/>
      <c r="N159" s="73"/>
    </row>
    <row r="160" spans="1:14" ht="38.25" hidden="1" x14ac:dyDescent="0.2">
      <c r="A160" s="344"/>
      <c r="B160" s="307"/>
      <c r="C160" s="121" t="s">
        <v>44</v>
      </c>
      <c r="D160" s="122" t="s">
        <v>45</v>
      </c>
      <c r="E160" s="122" t="s">
        <v>46</v>
      </c>
      <c r="F160" s="121" t="s">
        <v>44</v>
      </c>
      <c r="G160" s="122" t="s">
        <v>45</v>
      </c>
      <c r="H160" s="122" t="s">
        <v>46</v>
      </c>
      <c r="I160" s="121" t="s">
        <v>44</v>
      </c>
      <c r="J160" s="122" t="s">
        <v>45</v>
      </c>
      <c r="K160" s="122" t="s">
        <v>46</v>
      </c>
      <c r="L160" s="73"/>
      <c r="M160" s="73"/>
      <c r="N160" s="73"/>
    </row>
    <row r="161" spans="1:14" hidden="1" x14ac:dyDescent="0.2">
      <c r="A161" s="34" t="s">
        <v>190</v>
      </c>
      <c r="B161" s="115" t="s">
        <v>73</v>
      </c>
      <c r="C161" s="115" t="s">
        <v>47</v>
      </c>
      <c r="D161" s="115" t="s">
        <v>48</v>
      </c>
      <c r="E161" s="115" t="s">
        <v>49</v>
      </c>
      <c r="F161" s="115" t="s">
        <v>52</v>
      </c>
      <c r="G161" s="115" t="s">
        <v>53</v>
      </c>
      <c r="H161" s="115" t="s">
        <v>91</v>
      </c>
      <c r="I161" s="115" t="s">
        <v>92</v>
      </c>
      <c r="J161" s="115" t="s">
        <v>93</v>
      </c>
      <c r="K161" s="115" t="s">
        <v>94</v>
      </c>
      <c r="L161" s="73"/>
      <c r="M161" s="73"/>
      <c r="N161" s="73"/>
    </row>
    <row r="162" spans="1:14" hidden="1" x14ac:dyDescent="0.2">
      <c r="A162" s="42"/>
      <c r="B162" s="115" t="s">
        <v>98</v>
      </c>
      <c r="C162" s="36"/>
      <c r="D162" s="36"/>
      <c r="E162" s="36"/>
      <c r="F162" s="36"/>
      <c r="G162" s="36"/>
      <c r="H162" s="36"/>
      <c r="I162" s="36"/>
      <c r="J162" s="36"/>
      <c r="K162" s="36"/>
      <c r="L162" s="73"/>
      <c r="M162" s="73"/>
      <c r="N162" s="73"/>
    </row>
    <row r="163" spans="1:14" hidden="1" x14ac:dyDescent="0.2">
      <c r="A163" s="34" t="s">
        <v>427</v>
      </c>
      <c r="B163" s="115" t="s">
        <v>1</v>
      </c>
      <c r="C163" s="115" t="s">
        <v>1</v>
      </c>
      <c r="D163" s="115" t="s">
        <v>1</v>
      </c>
      <c r="E163" s="115" t="s">
        <v>1</v>
      </c>
      <c r="F163" s="115" t="s">
        <v>1</v>
      </c>
      <c r="G163" s="115" t="s">
        <v>1</v>
      </c>
      <c r="H163" s="115" t="s">
        <v>1</v>
      </c>
      <c r="I163" s="88">
        <f>SUM(I162:I162)</f>
        <v>0</v>
      </c>
      <c r="J163" s="88">
        <f>SUM(J162:J162)</f>
        <v>0</v>
      </c>
      <c r="K163" s="88">
        <f>SUM(K162:K162)</f>
        <v>0</v>
      </c>
      <c r="L163" s="73"/>
      <c r="M163" s="73"/>
      <c r="N163" s="73"/>
    </row>
    <row r="164" spans="1:14" x14ac:dyDescent="0.2">
      <c r="A164" s="135"/>
      <c r="B164" s="89"/>
      <c r="C164" s="89"/>
      <c r="D164" s="89"/>
      <c r="E164" s="89"/>
      <c r="F164" s="89"/>
      <c r="G164" s="89"/>
      <c r="H164" s="89"/>
      <c r="I164" s="136"/>
      <c r="J164" s="136"/>
      <c r="K164" s="136"/>
      <c r="L164" s="73"/>
      <c r="M164" s="73"/>
      <c r="N164" s="73"/>
    </row>
    <row r="165" spans="1:14" ht="18" customHeight="1" x14ac:dyDescent="0.2">
      <c r="A165" s="348" t="s">
        <v>673</v>
      </c>
      <c r="B165" s="348"/>
      <c r="C165" s="348"/>
      <c r="D165" s="348"/>
      <c r="E165" s="348"/>
      <c r="F165" s="348"/>
      <c r="G165" s="348"/>
      <c r="H165" s="348"/>
      <c r="I165" s="348"/>
      <c r="J165" s="348"/>
      <c r="K165" s="348"/>
      <c r="L165" s="73"/>
      <c r="M165" s="73"/>
      <c r="N165" s="73"/>
    </row>
    <row r="166" spans="1:14" x14ac:dyDescent="0.2">
      <c r="A166" s="132"/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</row>
    <row r="167" spans="1:14" ht="12.75" customHeight="1" x14ac:dyDescent="0.2">
      <c r="A167" s="280" t="s">
        <v>451</v>
      </c>
      <c r="B167" s="269" t="s">
        <v>72</v>
      </c>
      <c r="C167" s="283" t="s">
        <v>544</v>
      </c>
      <c r="D167" s="283"/>
      <c r="E167" s="283"/>
      <c r="F167" s="283" t="s">
        <v>547</v>
      </c>
      <c r="G167" s="283"/>
      <c r="H167" s="283"/>
      <c r="I167" s="283" t="s">
        <v>43</v>
      </c>
      <c r="J167" s="283"/>
      <c r="K167" s="283"/>
      <c r="L167" s="73"/>
      <c r="M167" s="73"/>
      <c r="N167" s="73"/>
    </row>
    <row r="168" spans="1:14" x14ac:dyDescent="0.2">
      <c r="A168" s="281"/>
      <c r="B168" s="269"/>
      <c r="C168" s="256" t="s">
        <v>399</v>
      </c>
      <c r="D168" s="256" t="s">
        <v>611</v>
      </c>
      <c r="E168" s="256" t="s">
        <v>650</v>
      </c>
      <c r="F168" s="256" t="s">
        <v>399</v>
      </c>
      <c r="G168" s="256" t="s">
        <v>611</v>
      </c>
      <c r="H168" s="256" t="s">
        <v>650</v>
      </c>
      <c r="I168" s="256" t="s">
        <v>399</v>
      </c>
      <c r="J168" s="256" t="s">
        <v>611</v>
      </c>
      <c r="K168" s="256" t="s">
        <v>650</v>
      </c>
      <c r="L168" s="73"/>
      <c r="M168" s="73"/>
      <c r="N168" s="73"/>
    </row>
    <row r="169" spans="1:14" ht="38.25" x14ac:dyDescent="0.2">
      <c r="A169" s="282"/>
      <c r="B169" s="269"/>
      <c r="C169" s="116" t="s">
        <v>44</v>
      </c>
      <c r="D169" s="116" t="s">
        <v>45</v>
      </c>
      <c r="E169" s="116" t="s">
        <v>46</v>
      </c>
      <c r="F169" s="116" t="s">
        <v>44</v>
      </c>
      <c r="G169" s="116" t="s">
        <v>45</v>
      </c>
      <c r="H169" s="116" t="s">
        <v>46</v>
      </c>
      <c r="I169" s="116" t="s">
        <v>44</v>
      </c>
      <c r="J169" s="116" t="s">
        <v>45</v>
      </c>
      <c r="K169" s="116" t="s">
        <v>46</v>
      </c>
      <c r="L169" s="73"/>
      <c r="M169" s="73"/>
      <c r="N169" s="73"/>
    </row>
    <row r="170" spans="1:14" x14ac:dyDescent="0.2">
      <c r="A170" s="117" t="s">
        <v>190</v>
      </c>
      <c r="B170" s="117" t="s">
        <v>73</v>
      </c>
      <c r="C170" s="117" t="s">
        <v>47</v>
      </c>
      <c r="D170" s="117" t="s">
        <v>48</v>
      </c>
      <c r="E170" s="117" t="s">
        <v>49</v>
      </c>
      <c r="F170" s="117" t="s">
        <v>52</v>
      </c>
      <c r="G170" s="117" t="s">
        <v>53</v>
      </c>
      <c r="H170" s="117" t="s">
        <v>91</v>
      </c>
      <c r="I170" s="117" t="s">
        <v>92</v>
      </c>
      <c r="J170" s="117" t="s">
        <v>93</v>
      </c>
      <c r="K170" s="117" t="s">
        <v>94</v>
      </c>
      <c r="L170" s="73"/>
      <c r="M170" s="73"/>
      <c r="N170" s="73"/>
    </row>
    <row r="171" spans="1:14" ht="76.5" x14ac:dyDescent="0.2">
      <c r="A171" s="4" t="s">
        <v>548</v>
      </c>
      <c r="B171" s="117" t="s">
        <v>98</v>
      </c>
      <c r="C171" s="110">
        <v>1</v>
      </c>
      <c r="D171" s="110">
        <f>C171</f>
        <v>1</v>
      </c>
      <c r="E171" s="110">
        <f>C171</f>
        <v>1</v>
      </c>
      <c r="F171" s="115">
        <v>15000</v>
      </c>
      <c r="G171" s="115">
        <v>15000</v>
      </c>
      <c r="H171" s="115">
        <v>15000</v>
      </c>
      <c r="I171" s="115">
        <f>F171</f>
        <v>15000</v>
      </c>
      <c r="J171" s="115">
        <v>15000</v>
      </c>
      <c r="K171" s="115">
        <v>15000</v>
      </c>
      <c r="L171" s="73"/>
      <c r="M171" s="73"/>
      <c r="N171" s="73"/>
    </row>
    <row r="172" spans="1:14" x14ac:dyDescent="0.2">
      <c r="A172" s="117" t="s">
        <v>427</v>
      </c>
      <c r="B172" s="96" t="s">
        <v>549</v>
      </c>
      <c r="C172" s="117" t="s">
        <v>1</v>
      </c>
      <c r="D172" s="117" t="s">
        <v>1</v>
      </c>
      <c r="E172" s="117" t="s">
        <v>1</v>
      </c>
      <c r="F172" s="117" t="s">
        <v>1</v>
      </c>
      <c r="G172" s="117" t="s">
        <v>1</v>
      </c>
      <c r="H172" s="117" t="s">
        <v>1</v>
      </c>
      <c r="I172" s="30">
        <f>SUM(I171:I171)</f>
        <v>15000</v>
      </c>
      <c r="J172" s="30">
        <f>SUM(J171:J171)</f>
        <v>15000</v>
      </c>
      <c r="K172" s="30">
        <f>SUM(K171:K171)</f>
        <v>15000</v>
      </c>
      <c r="L172" s="73"/>
      <c r="M172" s="73"/>
      <c r="N172" s="73"/>
    </row>
    <row r="173" spans="1:14" x14ac:dyDescent="0.2">
      <c r="A173" s="132"/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</row>
    <row r="174" spans="1:14" ht="24" customHeight="1" x14ac:dyDescent="0.2">
      <c r="A174" s="343" t="s">
        <v>674</v>
      </c>
      <c r="B174" s="343"/>
      <c r="C174" s="343"/>
      <c r="D174" s="343"/>
      <c r="E174" s="343"/>
      <c r="F174" s="343"/>
      <c r="G174" s="343"/>
      <c r="H174" s="343"/>
      <c r="I174" s="343"/>
      <c r="J174" s="343"/>
      <c r="K174" s="343"/>
      <c r="L174" s="343"/>
      <c r="M174" s="343"/>
      <c r="N174" s="343"/>
    </row>
    <row r="175" spans="1:14" x14ac:dyDescent="0.2">
      <c r="A175" s="32"/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73"/>
      <c r="M175" s="73"/>
      <c r="N175" s="73"/>
    </row>
    <row r="176" spans="1:14" x14ac:dyDescent="0.2">
      <c r="A176" s="344" t="s">
        <v>451</v>
      </c>
      <c r="B176" s="307" t="s">
        <v>72</v>
      </c>
      <c r="C176" s="308" t="s">
        <v>544</v>
      </c>
      <c r="D176" s="308"/>
      <c r="E176" s="308"/>
      <c r="F176" s="307" t="s">
        <v>205</v>
      </c>
      <c r="G176" s="307"/>
      <c r="H176" s="307"/>
      <c r="I176" s="305" t="s">
        <v>43</v>
      </c>
      <c r="J176" s="305"/>
      <c r="K176" s="305"/>
      <c r="L176" s="345"/>
      <c r="M176" s="73"/>
      <c r="N176" s="73"/>
    </row>
    <row r="177" spans="1:14" x14ac:dyDescent="0.2">
      <c r="A177" s="344"/>
      <c r="B177" s="307"/>
      <c r="C177" s="256" t="s">
        <v>399</v>
      </c>
      <c r="D177" s="256" t="s">
        <v>611</v>
      </c>
      <c r="E177" s="256" t="s">
        <v>650</v>
      </c>
      <c r="F177" s="256" t="s">
        <v>399</v>
      </c>
      <c r="G177" s="256" t="s">
        <v>611</v>
      </c>
      <c r="H177" s="256" t="s">
        <v>650</v>
      </c>
      <c r="I177" s="256" t="s">
        <v>399</v>
      </c>
      <c r="J177" s="256" t="s">
        <v>611</v>
      </c>
      <c r="K177" s="256" t="s">
        <v>650</v>
      </c>
      <c r="L177" s="345"/>
      <c r="M177" s="73"/>
      <c r="N177" s="73"/>
    </row>
    <row r="178" spans="1:14" ht="38.25" x14ac:dyDescent="0.2">
      <c r="A178" s="344"/>
      <c r="B178" s="307"/>
      <c r="C178" s="121" t="s">
        <v>44</v>
      </c>
      <c r="D178" s="122" t="s">
        <v>45</v>
      </c>
      <c r="E178" s="122" t="s">
        <v>46</v>
      </c>
      <c r="F178" s="121" t="s">
        <v>44</v>
      </c>
      <c r="G178" s="122" t="s">
        <v>45</v>
      </c>
      <c r="H178" s="122" t="s">
        <v>46</v>
      </c>
      <c r="I178" s="121" t="s">
        <v>44</v>
      </c>
      <c r="J178" s="122" t="s">
        <v>45</v>
      </c>
      <c r="K178" s="122" t="s">
        <v>46</v>
      </c>
      <c r="L178" s="345"/>
      <c r="M178" s="73"/>
      <c r="N178" s="73"/>
    </row>
    <row r="179" spans="1:14" x14ac:dyDescent="0.2">
      <c r="A179" s="34" t="s">
        <v>190</v>
      </c>
      <c r="B179" s="115" t="s">
        <v>73</v>
      </c>
      <c r="C179" s="115" t="s">
        <v>47</v>
      </c>
      <c r="D179" s="115" t="s">
        <v>48</v>
      </c>
      <c r="E179" s="115" t="s">
        <v>49</v>
      </c>
      <c r="F179" s="115" t="s">
        <v>52</v>
      </c>
      <c r="G179" s="115" t="s">
        <v>53</v>
      </c>
      <c r="H179" s="115" t="s">
        <v>91</v>
      </c>
      <c r="I179" s="115" t="s">
        <v>92</v>
      </c>
      <c r="J179" s="115" t="s">
        <v>93</v>
      </c>
      <c r="K179" s="115" t="s">
        <v>94</v>
      </c>
      <c r="L179" s="203"/>
      <c r="M179" s="73"/>
      <c r="N179" s="73"/>
    </row>
    <row r="180" spans="1:14" ht="12.75" customHeight="1" x14ac:dyDescent="0.2">
      <c r="A180" s="4" t="s">
        <v>550</v>
      </c>
      <c r="B180" s="115" t="s">
        <v>98</v>
      </c>
      <c r="C180" s="93">
        <v>1</v>
      </c>
      <c r="D180" s="93">
        <v>1</v>
      </c>
      <c r="E180" s="93">
        <v>1</v>
      </c>
      <c r="F180" s="191">
        <v>50000</v>
      </c>
      <c r="G180" s="191">
        <v>50000</v>
      </c>
      <c r="H180" s="191">
        <v>50000</v>
      </c>
      <c r="I180" s="191">
        <v>50000</v>
      </c>
      <c r="J180" s="191">
        <v>50000</v>
      </c>
      <c r="K180" s="191">
        <v>50000</v>
      </c>
      <c r="L180" s="204"/>
      <c r="M180" s="73"/>
      <c r="N180" s="73"/>
    </row>
    <row r="181" spans="1:14" x14ac:dyDescent="0.2">
      <c r="A181" s="4" t="s">
        <v>551</v>
      </c>
      <c r="B181" s="256" t="s">
        <v>99</v>
      </c>
      <c r="C181" s="93">
        <v>1</v>
      </c>
      <c r="D181" s="93">
        <v>1</v>
      </c>
      <c r="E181" s="93">
        <v>1</v>
      </c>
      <c r="F181" s="191">
        <v>37224</v>
      </c>
      <c r="G181" s="191">
        <v>37224</v>
      </c>
      <c r="H181" s="191">
        <v>37224</v>
      </c>
      <c r="I181" s="191">
        <v>37224</v>
      </c>
      <c r="J181" s="191">
        <v>37224</v>
      </c>
      <c r="K181" s="191">
        <v>37224</v>
      </c>
      <c r="L181" s="204"/>
      <c r="M181" s="73"/>
      <c r="N181" s="73"/>
    </row>
    <row r="182" spans="1:14" x14ac:dyDescent="0.2">
      <c r="A182" s="4" t="s">
        <v>683</v>
      </c>
      <c r="B182" s="256" t="s">
        <v>152</v>
      </c>
      <c r="C182" s="93">
        <v>1</v>
      </c>
      <c r="D182" s="93">
        <v>1</v>
      </c>
      <c r="E182" s="93">
        <v>1</v>
      </c>
      <c r="F182" s="191">
        <v>50000</v>
      </c>
      <c r="G182" s="191">
        <v>50000</v>
      </c>
      <c r="H182" s="191">
        <v>50000</v>
      </c>
      <c r="I182" s="191">
        <v>50000</v>
      </c>
      <c r="J182" s="191">
        <v>50000</v>
      </c>
      <c r="K182" s="191">
        <v>50000</v>
      </c>
      <c r="L182" s="204"/>
      <c r="M182" s="73"/>
      <c r="N182" s="73"/>
    </row>
    <row r="183" spans="1:14" x14ac:dyDescent="0.2">
      <c r="A183" s="4" t="s">
        <v>552</v>
      </c>
      <c r="B183" s="256" t="s">
        <v>154</v>
      </c>
      <c r="C183" s="93">
        <v>1</v>
      </c>
      <c r="D183" s="93">
        <v>1</v>
      </c>
      <c r="E183" s="93">
        <v>1</v>
      </c>
      <c r="F183" s="191">
        <v>25000</v>
      </c>
      <c r="G183" s="191">
        <v>25000</v>
      </c>
      <c r="H183" s="191">
        <v>25000</v>
      </c>
      <c r="I183" s="191">
        <v>25000</v>
      </c>
      <c r="J183" s="191">
        <v>25000</v>
      </c>
      <c r="K183" s="191">
        <v>25000</v>
      </c>
      <c r="L183" s="204"/>
      <c r="M183" s="73"/>
      <c r="N183" s="73"/>
    </row>
    <row r="184" spans="1:14" x14ac:dyDescent="0.2">
      <c r="A184" s="4" t="s">
        <v>553</v>
      </c>
      <c r="B184" s="256" t="s">
        <v>155</v>
      </c>
      <c r="C184" s="93">
        <v>1</v>
      </c>
      <c r="D184" s="93">
        <v>1</v>
      </c>
      <c r="E184" s="93">
        <v>1</v>
      </c>
      <c r="F184" s="191">
        <v>20317</v>
      </c>
      <c r="G184" s="191">
        <v>20317</v>
      </c>
      <c r="H184" s="191">
        <v>20317</v>
      </c>
      <c r="I184" s="191">
        <v>20317</v>
      </c>
      <c r="J184" s="191">
        <v>20317</v>
      </c>
      <c r="K184" s="191">
        <v>20317</v>
      </c>
      <c r="L184" s="204"/>
      <c r="M184" s="73"/>
      <c r="N184" s="73"/>
    </row>
    <row r="185" spans="1:14" ht="25.5" x14ac:dyDescent="0.2">
      <c r="A185" s="4" t="s">
        <v>554</v>
      </c>
      <c r="B185" s="256" t="s">
        <v>156</v>
      </c>
      <c r="C185" s="93">
        <v>1</v>
      </c>
      <c r="D185" s="93">
        <v>1</v>
      </c>
      <c r="E185" s="93">
        <v>1</v>
      </c>
      <c r="F185" s="191">
        <v>48964</v>
      </c>
      <c r="G185" s="191">
        <v>48964</v>
      </c>
      <c r="H185" s="191">
        <v>48964</v>
      </c>
      <c r="I185" s="191">
        <v>48964</v>
      </c>
      <c r="J185" s="191">
        <v>48964</v>
      </c>
      <c r="K185" s="191">
        <v>48964</v>
      </c>
      <c r="L185" s="204"/>
      <c r="M185" s="73"/>
      <c r="N185" s="73"/>
    </row>
    <row r="186" spans="1:14" x14ac:dyDescent="0.2">
      <c r="A186" s="4" t="s">
        <v>614</v>
      </c>
      <c r="B186" s="256" t="s">
        <v>157</v>
      </c>
      <c r="C186" s="93">
        <v>1</v>
      </c>
      <c r="D186" s="93">
        <v>1</v>
      </c>
      <c r="E186" s="93">
        <v>1</v>
      </c>
      <c r="F186" s="191">
        <v>3000</v>
      </c>
      <c r="G186" s="191">
        <v>3000</v>
      </c>
      <c r="H186" s="191">
        <v>3000</v>
      </c>
      <c r="I186" s="191">
        <v>3000</v>
      </c>
      <c r="J186" s="191">
        <v>3000</v>
      </c>
      <c r="K186" s="191">
        <v>3000</v>
      </c>
      <c r="L186" s="204"/>
      <c r="M186" s="73"/>
      <c r="N186" s="73"/>
    </row>
    <row r="187" spans="1:14" x14ac:dyDescent="0.2">
      <c r="A187" s="34" t="s">
        <v>427</v>
      </c>
      <c r="B187" s="115" t="s">
        <v>1</v>
      </c>
      <c r="C187" s="115" t="s">
        <v>1</v>
      </c>
      <c r="D187" s="115" t="s">
        <v>1</v>
      </c>
      <c r="E187" s="115" t="s">
        <v>1</v>
      </c>
      <c r="F187" s="115" t="s">
        <v>1</v>
      </c>
      <c r="G187" s="115" t="s">
        <v>1</v>
      </c>
      <c r="H187" s="115" t="s">
        <v>1</v>
      </c>
      <c r="I187" s="30">
        <f>SUM(I180:I186)</f>
        <v>234505</v>
      </c>
      <c r="J187" s="30">
        <f t="shared" ref="J187:K187" si="17">SUM(J180:J186)</f>
        <v>234505</v>
      </c>
      <c r="K187" s="30">
        <f t="shared" si="17"/>
        <v>234505</v>
      </c>
      <c r="L187" s="205"/>
      <c r="M187" s="73"/>
      <c r="N187" s="73"/>
    </row>
    <row r="188" spans="1:14" x14ac:dyDescent="0.2">
      <c r="A188" s="132"/>
      <c r="B188" s="73"/>
      <c r="C188" s="73"/>
      <c r="D188" s="73"/>
      <c r="E188" s="73"/>
      <c r="F188" s="73"/>
      <c r="G188" s="73"/>
      <c r="H188" s="73"/>
      <c r="I188" s="138"/>
      <c r="J188" s="138"/>
      <c r="K188" s="138"/>
      <c r="L188" s="73"/>
      <c r="M188" s="73"/>
      <c r="N188" s="73"/>
    </row>
    <row r="189" spans="1:14" ht="24" customHeight="1" x14ac:dyDescent="0.2">
      <c r="A189" s="343" t="s">
        <v>675</v>
      </c>
      <c r="B189" s="343"/>
      <c r="C189" s="343"/>
      <c r="D189" s="343"/>
      <c r="E189" s="343"/>
      <c r="F189" s="343"/>
      <c r="G189" s="343"/>
      <c r="H189" s="343"/>
      <c r="I189" s="343"/>
      <c r="J189" s="343"/>
      <c r="K189" s="343"/>
      <c r="L189" s="343"/>
      <c r="M189" s="343"/>
      <c r="N189" s="343"/>
    </row>
    <row r="190" spans="1:14" x14ac:dyDescent="0.2">
      <c r="A190" s="132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</row>
    <row r="191" spans="1:14" x14ac:dyDescent="0.2">
      <c r="A191" s="344" t="s">
        <v>451</v>
      </c>
      <c r="B191" s="307" t="s">
        <v>72</v>
      </c>
      <c r="C191" s="308" t="s">
        <v>544</v>
      </c>
      <c r="D191" s="308"/>
      <c r="E191" s="308"/>
      <c r="F191" s="307" t="s">
        <v>205</v>
      </c>
      <c r="G191" s="307"/>
      <c r="H191" s="307"/>
      <c r="I191" s="305" t="s">
        <v>43</v>
      </c>
      <c r="J191" s="305"/>
      <c r="K191" s="305"/>
      <c r="L191" s="73"/>
      <c r="M191" s="73"/>
      <c r="N191" s="73"/>
    </row>
    <row r="192" spans="1:14" x14ac:dyDescent="0.2">
      <c r="A192" s="344"/>
      <c r="B192" s="307"/>
      <c r="C192" s="256" t="s">
        <v>399</v>
      </c>
      <c r="D192" s="256" t="s">
        <v>611</v>
      </c>
      <c r="E192" s="256" t="s">
        <v>650</v>
      </c>
      <c r="F192" s="256" t="s">
        <v>399</v>
      </c>
      <c r="G192" s="256" t="s">
        <v>611</v>
      </c>
      <c r="H192" s="256" t="s">
        <v>650</v>
      </c>
      <c r="I192" s="256" t="s">
        <v>399</v>
      </c>
      <c r="J192" s="256" t="s">
        <v>611</v>
      </c>
      <c r="K192" s="256" t="s">
        <v>650</v>
      </c>
      <c r="L192" s="73"/>
      <c r="M192" s="73"/>
      <c r="N192" s="73"/>
    </row>
    <row r="193" spans="1:14" ht="38.25" x14ac:dyDescent="0.2">
      <c r="A193" s="344"/>
      <c r="B193" s="307"/>
      <c r="C193" s="121" t="s">
        <v>44</v>
      </c>
      <c r="D193" s="122" t="s">
        <v>45</v>
      </c>
      <c r="E193" s="122" t="s">
        <v>46</v>
      </c>
      <c r="F193" s="121" t="s">
        <v>44</v>
      </c>
      <c r="G193" s="122" t="s">
        <v>45</v>
      </c>
      <c r="H193" s="122" t="s">
        <v>46</v>
      </c>
      <c r="I193" s="121" t="s">
        <v>44</v>
      </c>
      <c r="J193" s="122" t="s">
        <v>45</v>
      </c>
      <c r="K193" s="122" t="s">
        <v>46</v>
      </c>
      <c r="L193" s="73"/>
      <c r="M193" s="73"/>
      <c r="N193" s="73"/>
    </row>
    <row r="194" spans="1:14" x14ac:dyDescent="0.2">
      <c r="A194" s="34" t="s">
        <v>190</v>
      </c>
      <c r="B194" s="115" t="s">
        <v>73</v>
      </c>
      <c r="C194" s="115" t="s">
        <v>47</v>
      </c>
      <c r="D194" s="115" t="s">
        <v>48</v>
      </c>
      <c r="E194" s="115" t="s">
        <v>49</v>
      </c>
      <c r="F194" s="115" t="s">
        <v>52</v>
      </c>
      <c r="G194" s="115" t="s">
        <v>53</v>
      </c>
      <c r="H194" s="115" t="s">
        <v>91</v>
      </c>
      <c r="I194" s="115" t="s">
        <v>92</v>
      </c>
      <c r="J194" s="115" t="s">
        <v>93</v>
      </c>
      <c r="K194" s="115" t="s">
        <v>94</v>
      </c>
      <c r="L194" s="73"/>
      <c r="M194" s="73"/>
      <c r="N194" s="73"/>
    </row>
    <row r="195" spans="1:14" x14ac:dyDescent="0.2">
      <c r="A195" s="42" t="s">
        <v>206</v>
      </c>
      <c r="B195" s="115" t="s">
        <v>98</v>
      </c>
      <c r="C195" s="93">
        <v>1</v>
      </c>
      <c r="D195" s="93">
        <v>1</v>
      </c>
      <c r="E195" s="93">
        <v>1</v>
      </c>
      <c r="F195" s="93">
        <v>10000</v>
      </c>
      <c r="G195" s="93">
        <v>10000</v>
      </c>
      <c r="H195" s="93">
        <v>10000</v>
      </c>
      <c r="I195" s="115">
        <f>C195*F195</f>
        <v>10000</v>
      </c>
      <c r="J195" s="210">
        <f t="shared" ref="J195:K195" si="18">D195*G195</f>
        <v>10000</v>
      </c>
      <c r="K195" s="210">
        <f t="shared" si="18"/>
        <v>10000</v>
      </c>
      <c r="L195" s="73"/>
      <c r="M195" s="73"/>
      <c r="N195" s="73"/>
    </row>
    <row r="196" spans="1:14" x14ac:dyDescent="0.2">
      <c r="A196" s="34" t="s">
        <v>427</v>
      </c>
      <c r="B196" s="115" t="s">
        <v>1</v>
      </c>
      <c r="C196" s="115" t="s">
        <v>1</v>
      </c>
      <c r="D196" s="115" t="s">
        <v>1</v>
      </c>
      <c r="E196" s="115" t="s">
        <v>1</v>
      </c>
      <c r="F196" s="115" t="s">
        <v>1</v>
      </c>
      <c r="G196" s="115" t="s">
        <v>1</v>
      </c>
      <c r="H196" s="115" t="s">
        <v>1</v>
      </c>
      <c r="I196" s="30">
        <f>SUM(I195:I195)</f>
        <v>10000</v>
      </c>
      <c r="J196" s="30">
        <f>SUM(J195:J195)</f>
        <v>10000</v>
      </c>
      <c r="K196" s="30">
        <f>SUM(K195:K195)</f>
        <v>10000</v>
      </c>
      <c r="L196" s="73"/>
      <c r="M196" s="73"/>
      <c r="N196" s="73"/>
    </row>
    <row r="197" spans="1:14" x14ac:dyDescent="0.2">
      <c r="A197" s="132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</row>
  </sheetData>
  <mergeCells count="101">
    <mergeCell ref="A191:A193"/>
    <mergeCell ref="B191:B193"/>
    <mergeCell ref="C191:E191"/>
    <mergeCell ref="F191:H191"/>
    <mergeCell ref="I191:K191"/>
    <mergeCell ref="A189:N189"/>
    <mergeCell ref="A176:A178"/>
    <mergeCell ref="B176:B178"/>
    <mergeCell ref="C176:E176"/>
    <mergeCell ref="F149:H149"/>
    <mergeCell ref="I149:K149"/>
    <mergeCell ref="A158:A160"/>
    <mergeCell ref="B158:B160"/>
    <mergeCell ref="C158:E158"/>
    <mergeCell ref="F158:H158"/>
    <mergeCell ref="I158:K158"/>
    <mergeCell ref="A156:N156"/>
    <mergeCell ref="F176:H176"/>
    <mergeCell ref="I176:K176"/>
    <mergeCell ref="B103:B105"/>
    <mergeCell ref="C103:E103"/>
    <mergeCell ref="F103:H103"/>
    <mergeCell ref="A92:N92"/>
    <mergeCell ref="A94:A96"/>
    <mergeCell ref="B94:B96"/>
    <mergeCell ref="C94:E94"/>
    <mergeCell ref="F94:H94"/>
    <mergeCell ref="I94:K94"/>
    <mergeCell ref="L103:L105"/>
    <mergeCell ref="A1:N1"/>
    <mergeCell ref="A46:N46"/>
    <mergeCell ref="A55:N55"/>
    <mergeCell ref="A76:N76"/>
    <mergeCell ref="A149:A151"/>
    <mergeCell ref="B149:B151"/>
    <mergeCell ref="C149:E149"/>
    <mergeCell ref="A125:N125"/>
    <mergeCell ref="A147:N147"/>
    <mergeCell ref="I140:K140"/>
    <mergeCell ref="A127:A129"/>
    <mergeCell ref="B127:B129"/>
    <mergeCell ref="C127:E127"/>
    <mergeCell ref="F127:H127"/>
    <mergeCell ref="I127:K127"/>
    <mergeCell ref="C5:E5"/>
    <mergeCell ref="B12:B13"/>
    <mergeCell ref="C12:C13"/>
    <mergeCell ref="D12:D13"/>
    <mergeCell ref="E12:E13"/>
    <mergeCell ref="A34:H34"/>
    <mergeCell ref="F36:H36"/>
    <mergeCell ref="I36:K36"/>
    <mergeCell ref="L67:N67"/>
    <mergeCell ref="A3:N3"/>
    <mergeCell ref="A136:K136"/>
    <mergeCell ref="A167:A169"/>
    <mergeCell ref="B167:B169"/>
    <mergeCell ref="C167:E167"/>
    <mergeCell ref="F167:H167"/>
    <mergeCell ref="I167:K167"/>
    <mergeCell ref="A165:K165"/>
    <mergeCell ref="A138:N138"/>
    <mergeCell ref="A140:A142"/>
    <mergeCell ref="B140:B142"/>
    <mergeCell ref="C140:E140"/>
    <mergeCell ref="F140:H140"/>
    <mergeCell ref="L36:N36"/>
    <mergeCell ref="A5:A7"/>
    <mergeCell ref="B5:B7"/>
    <mergeCell ref="A48:A50"/>
    <mergeCell ref="B48:B50"/>
    <mergeCell ref="C48:E48"/>
    <mergeCell ref="F48:H48"/>
    <mergeCell ref="I48:K48"/>
    <mergeCell ref="A57:A59"/>
    <mergeCell ref="B57:B59"/>
    <mergeCell ref="C57:E57"/>
    <mergeCell ref="O36:O38"/>
    <mergeCell ref="L57:L59"/>
    <mergeCell ref="L127:L129"/>
    <mergeCell ref="L149:L151"/>
    <mergeCell ref="L176:L178"/>
    <mergeCell ref="A174:N174"/>
    <mergeCell ref="I103:K103"/>
    <mergeCell ref="A78:A80"/>
    <mergeCell ref="B78:B80"/>
    <mergeCell ref="C78:E78"/>
    <mergeCell ref="F78:H78"/>
    <mergeCell ref="I78:K78"/>
    <mergeCell ref="A101:N101"/>
    <mergeCell ref="A36:A38"/>
    <mergeCell ref="B36:B38"/>
    <mergeCell ref="C36:E36"/>
    <mergeCell ref="F57:H57"/>
    <mergeCell ref="I57:K57"/>
    <mergeCell ref="A67:A69"/>
    <mergeCell ref="B67:B69"/>
    <mergeCell ref="C67:E67"/>
    <mergeCell ref="F67:H67"/>
    <mergeCell ref="I67:K67"/>
    <mergeCell ref="A103:A105"/>
  </mergeCells>
  <pageMargins left="0.70866141732283472" right="0.70866141732283472" top="0.74803149606299213" bottom="0.74803149606299213" header="0.31496062992125984" footer="0.31496062992125984"/>
  <pageSetup paperSize="9" scale="71" fitToHeight="0" orientation="landscape" r:id="rId1"/>
  <rowBreaks count="5" manualBreakCount="5">
    <brk id="23" max="13" man="1"/>
    <brk id="45" max="16383" man="1"/>
    <brk id="91" max="16383" man="1"/>
    <brk id="124" max="13" man="1"/>
    <brk id="187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V136"/>
  <sheetViews>
    <sheetView view="pageBreakPreview" topLeftCell="A49" zoomScaleSheetLayoutView="100" workbookViewId="0">
      <selection activeCell="J116" sqref="J116:K116"/>
    </sheetView>
  </sheetViews>
  <sheetFormatPr defaultRowHeight="12.75" x14ac:dyDescent="0.2"/>
  <cols>
    <col min="1" max="1" width="32" customWidth="1"/>
    <col min="2" max="2" width="7.28515625" customWidth="1"/>
    <col min="3" max="3" width="12.85546875" customWidth="1"/>
    <col min="4" max="4" width="12.7109375" customWidth="1"/>
    <col min="5" max="5" width="12.85546875" customWidth="1"/>
    <col min="6" max="6" width="11.28515625" customWidth="1"/>
    <col min="7" max="7" width="11.5703125" customWidth="1"/>
    <col min="8" max="8" width="11.42578125" customWidth="1"/>
    <col min="9" max="10" width="12" customWidth="1"/>
    <col min="11" max="11" width="12.42578125" customWidth="1"/>
    <col min="12" max="12" width="12" customWidth="1"/>
    <col min="13" max="13" width="10.85546875" customWidth="1"/>
    <col min="14" max="14" width="10.28515625" customWidth="1"/>
    <col min="15" max="15" width="11.28515625" bestFit="1" customWidth="1"/>
  </cols>
  <sheetData>
    <row r="2" spans="1:22" s="1" customFormat="1" ht="24" customHeight="1" x14ac:dyDescent="0.25">
      <c r="A2" s="347" t="s">
        <v>608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11"/>
      <c r="P2" s="11"/>
      <c r="Q2" s="11"/>
      <c r="R2" s="11"/>
      <c r="S2" s="11"/>
      <c r="T2" s="11"/>
      <c r="U2" s="11"/>
      <c r="V2" s="11"/>
    </row>
    <row r="3" spans="1:22" s="1" customFormat="1" ht="13.5" customHeight="1" x14ac:dyDescent="0.25">
      <c r="A3" s="176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1"/>
      <c r="P3" s="11"/>
      <c r="Q3" s="11"/>
      <c r="R3" s="11"/>
      <c r="S3" s="11"/>
      <c r="T3" s="11"/>
      <c r="U3" s="11"/>
      <c r="V3" s="11"/>
    </row>
    <row r="4" spans="1:22" s="1" customFormat="1" ht="15.75" x14ac:dyDescent="0.25">
      <c r="A4" s="8" t="s">
        <v>398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11"/>
      <c r="P4" s="11"/>
      <c r="Q4" s="11"/>
      <c r="R4" s="11"/>
      <c r="S4" s="11"/>
      <c r="T4" s="11"/>
      <c r="U4" s="11"/>
      <c r="V4" s="11"/>
    </row>
    <row r="5" spans="1:22" s="1" customFormat="1" ht="14.25" customHeight="1" x14ac:dyDescent="0.25"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11"/>
      <c r="P5" s="11"/>
      <c r="Q5" s="11"/>
      <c r="R5" s="11"/>
      <c r="S5" s="11"/>
      <c r="T5" s="11"/>
      <c r="U5" s="11"/>
      <c r="V5" s="11"/>
    </row>
    <row r="6" spans="1:22" s="1" customFormat="1" ht="15.75" x14ac:dyDescent="0.25">
      <c r="A6" s="298" t="s">
        <v>193</v>
      </c>
      <c r="B6" s="308" t="s">
        <v>72</v>
      </c>
      <c r="C6" s="306" t="s">
        <v>43</v>
      </c>
      <c r="D6" s="306"/>
      <c r="E6" s="306"/>
      <c r="F6" s="85"/>
      <c r="G6" s="85"/>
      <c r="H6" s="85"/>
      <c r="I6" s="85"/>
      <c r="J6" s="85"/>
      <c r="K6" s="85"/>
      <c r="L6" s="85"/>
      <c r="M6" s="85"/>
      <c r="N6" s="85"/>
      <c r="O6" s="11"/>
      <c r="P6" s="11"/>
      <c r="Q6" s="11"/>
      <c r="R6" s="11"/>
      <c r="S6" s="11"/>
      <c r="T6" s="11"/>
      <c r="U6" s="11"/>
      <c r="V6" s="11"/>
    </row>
    <row r="7" spans="1:22" s="1" customFormat="1" ht="15.75" x14ac:dyDescent="0.25">
      <c r="A7" s="298"/>
      <c r="B7" s="308"/>
      <c r="C7" s="164" t="s">
        <v>399</v>
      </c>
      <c r="D7" s="164" t="s">
        <v>611</v>
      </c>
      <c r="E7" s="164" t="s">
        <v>650</v>
      </c>
      <c r="F7" s="85"/>
      <c r="G7" s="85"/>
      <c r="H7" s="85"/>
      <c r="I7" s="85"/>
      <c r="J7" s="85"/>
      <c r="K7" s="85"/>
      <c r="L7" s="85"/>
      <c r="M7" s="85"/>
      <c r="N7" s="85"/>
      <c r="O7" s="11"/>
      <c r="P7" s="11"/>
      <c r="Q7" s="11"/>
      <c r="R7" s="11"/>
      <c r="S7" s="11"/>
      <c r="T7" s="11"/>
      <c r="U7" s="11"/>
      <c r="V7" s="11"/>
    </row>
    <row r="8" spans="1:22" s="1" customFormat="1" ht="51" customHeight="1" x14ac:dyDescent="0.25">
      <c r="A8" s="298"/>
      <c r="B8" s="308"/>
      <c r="C8" s="170" t="s">
        <v>44</v>
      </c>
      <c r="D8" s="170" t="s">
        <v>45</v>
      </c>
      <c r="E8" s="170" t="s">
        <v>46</v>
      </c>
      <c r="F8" s="85"/>
      <c r="G8" s="85"/>
      <c r="H8" s="85"/>
      <c r="I8" s="85"/>
      <c r="J8" s="85"/>
      <c r="K8" s="85"/>
      <c r="L8" s="85"/>
      <c r="M8" s="85"/>
      <c r="N8" s="85"/>
      <c r="O8" s="11"/>
      <c r="P8" s="11"/>
      <c r="Q8" s="11"/>
      <c r="R8" s="11"/>
      <c r="S8" s="11"/>
      <c r="T8" s="11"/>
      <c r="U8" s="11"/>
      <c r="V8" s="11"/>
    </row>
    <row r="9" spans="1:22" s="1" customFormat="1" ht="19.5" customHeight="1" x14ac:dyDescent="0.25">
      <c r="A9" s="167" t="s">
        <v>190</v>
      </c>
      <c r="B9" s="164" t="s">
        <v>73</v>
      </c>
      <c r="C9" s="164" t="s">
        <v>47</v>
      </c>
      <c r="D9" s="164" t="s">
        <v>48</v>
      </c>
      <c r="E9" s="164" t="s">
        <v>49</v>
      </c>
      <c r="F9" s="85"/>
      <c r="G9" s="85"/>
      <c r="H9" s="85"/>
      <c r="I9" s="85"/>
      <c r="J9" s="85"/>
      <c r="K9" s="85"/>
      <c r="L9" s="85"/>
      <c r="M9" s="85"/>
      <c r="N9" s="85"/>
      <c r="O9" s="11"/>
      <c r="P9" s="11"/>
      <c r="Q9" s="11"/>
      <c r="R9" s="11"/>
      <c r="S9" s="11"/>
      <c r="T9" s="11"/>
      <c r="U9" s="11"/>
      <c r="V9" s="11"/>
    </row>
    <row r="10" spans="1:22" s="1" customFormat="1" ht="80.25" customHeight="1" x14ac:dyDescent="0.25">
      <c r="A10" s="3" t="s">
        <v>471</v>
      </c>
      <c r="B10" s="170" t="s">
        <v>74</v>
      </c>
      <c r="C10" s="175">
        <v>0</v>
      </c>
      <c r="D10" s="175">
        <v>0</v>
      </c>
      <c r="E10" s="175">
        <v>0</v>
      </c>
      <c r="F10" s="85"/>
      <c r="G10" s="85"/>
      <c r="H10" s="85"/>
      <c r="I10" s="85"/>
      <c r="J10" s="85"/>
      <c r="K10" s="85"/>
      <c r="L10" s="85"/>
      <c r="M10" s="85"/>
      <c r="N10" s="85"/>
      <c r="O10" s="11"/>
      <c r="P10" s="11"/>
      <c r="Q10" s="11"/>
      <c r="R10" s="11"/>
      <c r="S10" s="11"/>
      <c r="T10" s="11"/>
      <c r="U10" s="11"/>
      <c r="V10" s="11"/>
    </row>
    <row r="11" spans="1:22" s="1" customFormat="1" ht="54" customHeight="1" x14ac:dyDescent="0.25">
      <c r="A11" s="3" t="s">
        <v>472</v>
      </c>
      <c r="B11" s="170" t="s">
        <v>75</v>
      </c>
      <c r="C11" s="101">
        <v>0</v>
      </c>
      <c r="D11" s="101"/>
      <c r="E11" s="101"/>
      <c r="F11" s="85"/>
      <c r="G11" s="85"/>
      <c r="H11" s="85"/>
      <c r="I11" s="85"/>
      <c r="J11" s="85"/>
      <c r="K11" s="85"/>
      <c r="L11" s="85"/>
      <c r="M11" s="85"/>
      <c r="N11" s="85"/>
      <c r="O11" s="11"/>
      <c r="P11" s="11"/>
      <c r="Q11" s="11"/>
      <c r="R11" s="11"/>
      <c r="S11" s="11"/>
      <c r="T11" s="11"/>
      <c r="U11" s="11"/>
      <c r="V11" s="11"/>
    </row>
    <row r="12" spans="1:22" s="1" customFormat="1" ht="26.25" x14ac:dyDescent="0.25">
      <c r="A12" s="7" t="s">
        <v>473</v>
      </c>
      <c r="B12" s="170" t="s">
        <v>76</v>
      </c>
      <c r="C12" s="108">
        <f>SUM(C13:C25)</f>
        <v>0</v>
      </c>
      <c r="D12" s="108">
        <f t="shared" ref="D12:E12" si="0">SUM(D13:D25)</f>
        <v>0</v>
      </c>
      <c r="E12" s="108">
        <f t="shared" si="0"/>
        <v>0</v>
      </c>
      <c r="F12" s="85"/>
      <c r="G12" s="85"/>
      <c r="H12" s="85"/>
      <c r="I12" s="85"/>
      <c r="J12" s="85"/>
      <c r="K12" s="85"/>
      <c r="L12" s="85"/>
      <c r="M12" s="85"/>
      <c r="N12" s="85"/>
      <c r="O12" s="11"/>
      <c r="P12" s="11"/>
      <c r="Q12" s="11"/>
      <c r="R12" s="11"/>
      <c r="S12" s="11"/>
      <c r="T12" s="11"/>
      <c r="U12" s="11"/>
      <c r="V12" s="11"/>
    </row>
    <row r="13" spans="1:22" s="1" customFormat="1" ht="15.75" x14ac:dyDescent="0.25">
      <c r="A13" s="112" t="s">
        <v>109</v>
      </c>
      <c r="B13" s="308" t="s">
        <v>133</v>
      </c>
      <c r="C13" s="346">
        <f>L39</f>
        <v>0</v>
      </c>
      <c r="D13" s="346">
        <f t="shared" ref="D13:E13" si="1">M39</f>
        <v>0</v>
      </c>
      <c r="E13" s="346">
        <f t="shared" si="1"/>
        <v>0</v>
      </c>
      <c r="F13" s="85"/>
      <c r="G13" s="85"/>
      <c r="H13" s="85"/>
      <c r="I13" s="85"/>
      <c r="J13" s="85"/>
      <c r="K13" s="85"/>
      <c r="L13" s="85"/>
      <c r="M13" s="85"/>
      <c r="N13" s="85"/>
      <c r="O13" s="11"/>
      <c r="P13" s="11"/>
      <c r="Q13" s="11"/>
      <c r="R13" s="11"/>
      <c r="S13" s="11"/>
      <c r="T13" s="11"/>
      <c r="U13" s="11"/>
      <c r="V13" s="11"/>
    </row>
    <row r="14" spans="1:22" s="1" customFormat="1" ht="15.75" x14ac:dyDescent="0.25">
      <c r="A14" s="112" t="s">
        <v>329</v>
      </c>
      <c r="B14" s="308"/>
      <c r="C14" s="346"/>
      <c r="D14" s="346"/>
      <c r="E14" s="346"/>
      <c r="F14" s="85"/>
      <c r="G14" s="85"/>
      <c r="H14" s="85"/>
      <c r="I14" s="85"/>
      <c r="J14" s="85"/>
      <c r="K14" s="85"/>
      <c r="L14" s="85"/>
      <c r="M14" s="85"/>
      <c r="N14" s="85"/>
      <c r="O14" s="11"/>
      <c r="P14" s="11"/>
      <c r="Q14" s="11"/>
      <c r="R14" s="11"/>
      <c r="S14" s="11"/>
      <c r="T14" s="11"/>
      <c r="U14" s="11"/>
      <c r="V14" s="11"/>
    </row>
    <row r="15" spans="1:22" s="1" customFormat="1" ht="15.75" x14ac:dyDescent="0.25">
      <c r="A15" s="112" t="s">
        <v>337</v>
      </c>
      <c r="B15" s="170" t="s">
        <v>134</v>
      </c>
      <c r="C15" s="175">
        <v>0</v>
      </c>
      <c r="D15" s="175">
        <v>0</v>
      </c>
      <c r="E15" s="175">
        <v>0</v>
      </c>
      <c r="F15" s="85"/>
      <c r="G15" s="85"/>
      <c r="H15" s="85"/>
      <c r="I15" s="85"/>
      <c r="J15" s="85"/>
      <c r="K15" s="85"/>
      <c r="L15" s="85"/>
      <c r="M15" s="85"/>
      <c r="N15" s="85"/>
      <c r="O15" s="11"/>
      <c r="P15" s="11"/>
      <c r="Q15" s="11"/>
      <c r="R15" s="11"/>
      <c r="S15" s="11"/>
      <c r="T15" s="11"/>
      <c r="U15" s="11"/>
      <c r="V15" s="11"/>
    </row>
    <row r="16" spans="1:22" s="1" customFormat="1" ht="15.75" x14ac:dyDescent="0.25">
      <c r="A16" s="112" t="s">
        <v>483</v>
      </c>
      <c r="B16" s="170" t="s">
        <v>135</v>
      </c>
      <c r="C16" s="175">
        <v>0</v>
      </c>
      <c r="D16" s="175">
        <v>0</v>
      </c>
      <c r="E16" s="175">
        <v>0</v>
      </c>
      <c r="F16" s="85"/>
      <c r="G16" s="85"/>
      <c r="H16" s="85"/>
      <c r="I16" s="85"/>
      <c r="J16" s="85"/>
      <c r="K16" s="85"/>
      <c r="L16" s="85"/>
      <c r="M16" s="85"/>
      <c r="N16" s="85"/>
      <c r="O16" s="11"/>
      <c r="P16" s="11"/>
      <c r="Q16" s="11"/>
      <c r="R16" s="11"/>
      <c r="S16" s="11"/>
      <c r="T16" s="11"/>
      <c r="U16" s="11"/>
      <c r="V16" s="11"/>
    </row>
    <row r="17" spans="1:22" s="1" customFormat="1" ht="15.75" x14ac:dyDescent="0.25">
      <c r="A17" s="112" t="s">
        <v>484</v>
      </c>
      <c r="B17" s="170" t="s">
        <v>136</v>
      </c>
      <c r="C17" s="175">
        <f>I71</f>
        <v>0</v>
      </c>
      <c r="D17" s="175">
        <f>J71</f>
        <v>0</v>
      </c>
      <c r="E17" s="175">
        <f>K71</f>
        <v>0</v>
      </c>
      <c r="F17" s="85"/>
      <c r="G17" s="85"/>
      <c r="H17" s="85"/>
      <c r="I17" s="85"/>
      <c r="J17" s="85"/>
      <c r="K17" s="85"/>
      <c r="L17" s="85"/>
      <c r="M17" s="85"/>
      <c r="N17" s="85"/>
      <c r="O17" s="11"/>
      <c r="P17" s="11"/>
      <c r="Q17" s="11"/>
      <c r="R17" s="11"/>
      <c r="S17" s="11"/>
      <c r="T17" s="11"/>
      <c r="U17" s="11"/>
      <c r="V17" s="11"/>
    </row>
    <row r="18" spans="1:22" s="1" customFormat="1" ht="15.75" x14ac:dyDescent="0.25">
      <c r="A18" s="112" t="s">
        <v>477</v>
      </c>
      <c r="B18" s="170" t="s">
        <v>137</v>
      </c>
      <c r="C18" s="175">
        <f>L80</f>
        <v>0</v>
      </c>
      <c r="D18" s="175">
        <f t="shared" ref="D18:E18" si="2">M80</f>
        <v>0</v>
      </c>
      <c r="E18" s="175">
        <f t="shared" si="2"/>
        <v>0</v>
      </c>
      <c r="F18" s="85"/>
      <c r="G18" s="85"/>
      <c r="H18" s="85"/>
      <c r="I18" s="85"/>
      <c r="J18" s="85"/>
      <c r="K18" s="85"/>
      <c r="L18" s="85"/>
      <c r="M18" s="85"/>
      <c r="N18" s="85"/>
      <c r="O18" s="11"/>
      <c r="P18" s="11"/>
      <c r="Q18" s="11"/>
      <c r="R18" s="11"/>
      <c r="S18" s="11"/>
      <c r="T18" s="11"/>
      <c r="U18" s="11"/>
      <c r="V18" s="11"/>
    </row>
    <row r="19" spans="1:22" s="1" customFormat="1" ht="15.75" x14ac:dyDescent="0.25">
      <c r="A19" s="112" t="s">
        <v>478</v>
      </c>
      <c r="B19" s="170" t="s">
        <v>138</v>
      </c>
      <c r="C19" s="175">
        <f>I100</f>
        <v>0</v>
      </c>
      <c r="D19" s="175">
        <f t="shared" ref="D19:E19" si="3">J100</f>
        <v>0</v>
      </c>
      <c r="E19" s="175">
        <f t="shared" si="3"/>
        <v>0</v>
      </c>
      <c r="F19" s="85"/>
      <c r="G19" s="85"/>
      <c r="H19" s="85"/>
      <c r="I19" s="85"/>
      <c r="J19" s="85"/>
      <c r="K19" s="85"/>
      <c r="L19" s="85"/>
      <c r="M19" s="85"/>
      <c r="N19" s="85"/>
      <c r="O19" s="11"/>
      <c r="P19" s="11"/>
      <c r="Q19" s="11"/>
      <c r="R19" s="11"/>
      <c r="S19" s="11"/>
      <c r="T19" s="11"/>
      <c r="U19" s="11"/>
      <c r="V19" s="11"/>
    </row>
    <row r="20" spans="1:22" s="1" customFormat="1" ht="15.75" x14ac:dyDescent="0.25">
      <c r="A20" s="112" t="s">
        <v>323</v>
      </c>
      <c r="B20" s="170" t="s">
        <v>139</v>
      </c>
      <c r="C20" s="175">
        <v>0</v>
      </c>
      <c r="D20" s="175">
        <v>0</v>
      </c>
      <c r="E20" s="175">
        <v>0</v>
      </c>
      <c r="F20" s="85"/>
      <c r="G20" s="85"/>
      <c r="H20" s="85"/>
      <c r="I20" s="85"/>
      <c r="J20" s="85"/>
      <c r="K20" s="85"/>
      <c r="L20" s="85"/>
      <c r="M20" s="85"/>
      <c r="N20" s="85"/>
      <c r="O20" s="11"/>
      <c r="P20" s="11"/>
      <c r="Q20" s="11"/>
      <c r="R20" s="11"/>
      <c r="S20" s="11"/>
      <c r="T20" s="11"/>
      <c r="U20" s="11"/>
      <c r="V20" s="11"/>
    </row>
    <row r="21" spans="1:22" s="1" customFormat="1" ht="38.25" x14ac:dyDescent="0.25">
      <c r="A21" s="3" t="s">
        <v>479</v>
      </c>
      <c r="B21" s="170" t="s">
        <v>140</v>
      </c>
      <c r="C21" s="175">
        <f>I109</f>
        <v>0</v>
      </c>
      <c r="D21" s="175">
        <f>J109</f>
        <v>0</v>
      </c>
      <c r="E21" s="175">
        <f>K109</f>
        <v>0</v>
      </c>
      <c r="F21" s="85"/>
      <c r="G21" s="85"/>
      <c r="H21" s="85"/>
      <c r="I21" s="85"/>
      <c r="J21" s="85"/>
      <c r="K21" s="85"/>
      <c r="L21" s="85"/>
      <c r="M21" s="85"/>
      <c r="N21" s="85"/>
      <c r="O21" s="11"/>
      <c r="P21" s="11"/>
      <c r="Q21" s="11"/>
      <c r="R21" s="11"/>
      <c r="S21" s="11"/>
      <c r="T21" s="11"/>
      <c r="U21" s="11"/>
      <c r="V21" s="11"/>
    </row>
    <row r="22" spans="1:22" s="1" customFormat="1" ht="80.25" customHeight="1" x14ac:dyDescent="0.25">
      <c r="A22" s="4" t="s">
        <v>480</v>
      </c>
      <c r="B22" s="170" t="s">
        <v>141</v>
      </c>
      <c r="C22" s="175">
        <v>0</v>
      </c>
      <c r="D22" s="175">
        <v>0</v>
      </c>
      <c r="E22" s="175">
        <v>0</v>
      </c>
      <c r="F22" s="85"/>
      <c r="G22" s="85"/>
      <c r="H22" s="85"/>
      <c r="I22" s="85"/>
      <c r="J22" s="85"/>
      <c r="K22" s="85"/>
      <c r="L22" s="85"/>
      <c r="M22" s="85"/>
      <c r="N22" s="85"/>
      <c r="O22" s="11"/>
      <c r="P22" s="11"/>
      <c r="Q22" s="11"/>
      <c r="R22" s="11"/>
      <c r="S22" s="11"/>
      <c r="T22" s="11"/>
      <c r="U22" s="11"/>
      <c r="V22" s="11"/>
    </row>
    <row r="23" spans="1:22" s="1" customFormat="1" ht="28.5" customHeight="1" x14ac:dyDescent="0.25">
      <c r="A23" s="4" t="s">
        <v>324</v>
      </c>
      <c r="B23" s="170" t="s">
        <v>77</v>
      </c>
      <c r="C23" s="175"/>
      <c r="D23" s="175"/>
      <c r="E23" s="175"/>
      <c r="F23" s="85"/>
      <c r="G23" s="85"/>
      <c r="H23" s="85"/>
      <c r="I23" s="85"/>
      <c r="J23" s="85"/>
      <c r="K23" s="85"/>
      <c r="L23" s="85"/>
      <c r="M23" s="85"/>
      <c r="N23" s="85"/>
      <c r="O23" s="11"/>
      <c r="P23" s="11"/>
      <c r="Q23" s="11"/>
      <c r="R23" s="11"/>
      <c r="S23" s="11"/>
      <c r="T23" s="11"/>
      <c r="U23" s="11"/>
      <c r="V23" s="11"/>
    </row>
    <row r="24" spans="1:22" s="1" customFormat="1" ht="28.5" customHeight="1" x14ac:dyDescent="0.25">
      <c r="A24" s="4" t="s">
        <v>328</v>
      </c>
      <c r="B24" s="187" t="s">
        <v>485</v>
      </c>
      <c r="C24" s="189"/>
      <c r="D24" s="189"/>
      <c r="E24" s="189"/>
      <c r="F24" s="85"/>
      <c r="G24" s="85"/>
      <c r="H24" s="85"/>
      <c r="I24" s="85"/>
      <c r="J24" s="85"/>
      <c r="K24" s="85"/>
      <c r="L24" s="85"/>
      <c r="M24" s="85"/>
      <c r="N24" s="85"/>
      <c r="O24" s="11"/>
      <c r="P24" s="11"/>
      <c r="Q24" s="11"/>
      <c r="R24" s="11"/>
      <c r="S24" s="11"/>
      <c r="T24" s="11"/>
      <c r="U24" s="11"/>
      <c r="V24" s="11"/>
    </row>
    <row r="25" spans="1:22" s="1" customFormat="1" ht="25.5" customHeight="1" x14ac:dyDescent="0.25">
      <c r="A25" s="4" t="s">
        <v>509</v>
      </c>
      <c r="B25" s="187" t="s">
        <v>537</v>
      </c>
      <c r="C25" s="175">
        <v>0</v>
      </c>
      <c r="D25" s="175">
        <v>0</v>
      </c>
      <c r="E25" s="175">
        <v>0</v>
      </c>
      <c r="F25" s="85"/>
      <c r="G25" s="85"/>
      <c r="H25" s="85"/>
      <c r="I25" s="85"/>
      <c r="J25" s="85"/>
      <c r="K25" s="85"/>
      <c r="L25" s="85"/>
      <c r="M25" s="85"/>
      <c r="N25" s="85"/>
      <c r="O25" s="11"/>
      <c r="P25" s="11"/>
      <c r="Q25" s="11"/>
      <c r="R25" s="11"/>
      <c r="S25" s="11"/>
      <c r="T25" s="11"/>
      <c r="U25" s="11"/>
      <c r="V25" s="11"/>
    </row>
    <row r="26" spans="1:22" s="1" customFormat="1" ht="79.5" customHeight="1" x14ac:dyDescent="0.25">
      <c r="A26" s="4" t="s">
        <v>474</v>
      </c>
      <c r="B26" s="170" t="s">
        <v>86</v>
      </c>
      <c r="C26" s="175">
        <v>0</v>
      </c>
      <c r="D26" s="175">
        <v>0</v>
      </c>
      <c r="E26" s="175">
        <v>0</v>
      </c>
      <c r="F26" s="85"/>
      <c r="G26" s="85"/>
      <c r="H26" s="85"/>
      <c r="I26" s="85"/>
      <c r="J26" s="85"/>
      <c r="K26" s="85"/>
      <c r="L26" s="85"/>
      <c r="M26" s="85"/>
      <c r="N26" s="85"/>
      <c r="O26" s="11"/>
      <c r="P26" s="11"/>
      <c r="Q26" s="11"/>
      <c r="R26" s="11"/>
      <c r="S26" s="11"/>
      <c r="T26" s="11"/>
      <c r="U26" s="11"/>
      <c r="V26" s="11"/>
    </row>
    <row r="27" spans="1:22" s="1" customFormat="1" ht="54" customHeight="1" x14ac:dyDescent="0.25">
      <c r="A27" s="4" t="s">
        <v>475</v>
      </c>
      <c r="B27" s="170" t="s">
        <v>87</v>
      </c>
      <c r="C27" s="175">
        <v>0</v>
      </c>
      <c r="D27" s="175">
        <v>0</v>
      </c>
      <c r="E27" s="175">
        <v>0</v>
      </c>
      <c r="F27" s="85"/>
      <c r="G27" s="85"/>
      <c r="H27" s="85"/>
      <c r="I27" s="85"/>
      <c r="J27" s="85"/>
      <c r="K27" s="85"/>
      <c r="L27" s="85"/>
      <c r="M27" s="85"/>
      <c r="N27" s="85"/>
      <c r="O27" s="11"/>
      <c r="P27" s="11"/>
      <c r="Q27" s="11"/>
      <c r="R27" s="11"/>
      <c r="S27" s="11"/>
      <c r="T27" s="11"/>
      <c r="U27" s="11"/>
      <c r="V27" s="11"/>
    </row>
    <row r="28" spans="1:22" s="1" customFormat="1" ht="41.25" customHeight="1" x14ac:dyDescent="0.25">
      <c r="A28" s="4" t="s">
        <v>476</v>
      </c>
      <c r="B28" s="170" t="s">
        <v>88</v>
      </c>
      <c r="C28" s="108">
        <f>C10-C11+C12-C26+C27</f>
        <v>0</v>
      </c>
      <c r="D28" s="108">
        <f t="shared" ref="D28:E28" si="4">D10-D11+D12-D26+D27</f>
        <v>0</v>
      </c>
      <c r="E28" s="108">
        <f t="shared" si="4"/>
        <v>0</v>
      </c>
      <c r="F28" s="85"/>
      <c r="G28" s="85"/>
      <c r="H28" s="85"/>
      <c r="I28" s="85"/>
      <c r="J28" s="85"/>
      <c r="K28" s="85"/>
      <c r="L28" s="85"/>
      <c r="M28" s="85"/>
      <c r="N28" s="85"/>
      <c r="O28" s="11"/>
      <c r="P28" s="11"/>
      <c r="Q28" s="11"/>
      <c r="R28" s="11"/>
      <c r="S28" s="11"/>
      <c r="T28" s="11"/>
      <c r="U28" s="11"/>
      <c r="V28" s="11"/>
    </row>
    <row r="29" spans="1:22" s="1" customFormat="1" ht="15.75" x14ac:dyDescent="0.25"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11"/>
      <c r="P29" s="11"/>
      <c r="Q29" s="11"/>
      <c r="R29" s="11"/>
      <c r="S29" s="11"/>
      <c r="T29" s="11"/>
      <c r="U29" s="11"/>
      <c r="V29" s="11"/>
    </row>
    <row r="30" spans="1:22" s="1" customFormat="1" ht="32.25" customHeight="1" x14ac:dyDescent="0.25">
      <c r="A30" s="351" t="s">
        <v>612</v>
      </c>
      <c r="B30" s="351"/>
      <c r="C30" s="351"/>
      <c r="D30" s="351"/>
      <c r="E30" s="351"/>
      <c r="F30" s="351"/>
      <c r="G30" s="351"/>
      <c r="H30" s="351"/>
      <c r="I30" s="351"/>
      <c r="J30" s="351"/>
      <c r="K30" s="351"/>
      <c r="L30" s="351"/>
      <c r="M30" s="351"/>
      <c r="N30" s="201"/>
      <c r="O30" s="11"/>
      <c r="P30" s="11"/>
      <c r="Q30" s="11"/>
      <c r="R30" s="11"/>
      <c r="S30" s="11"/>
      <c r="T30" s="11"/>
      <c r="U30" s="11"/>
      <c r="V30" s="11"/>
    </row>
    <row r="31" spans="1:22" s="1" customFormat="1" ht="15.75" x14ac:dyDescent="0.25"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11"/>
      <c r="P31" s="11"/>
      <c r="Q31" s="11"/>
      <c r="R31" s="11"/>
      <c r="S31" s="11"/>
      <c r="T31" s="11"/>
      <c r="U31" s="11"/>
      <c r="V31" s="11"/>
    </row>
    <row r="32" spans="1:22" s="1" customFormat="1" ht="15.75" x14ac:dyDescent="0.25">
      <c r="A32" s="8" t="s">
        <v>481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11"/>
      <c r="P32" s="11"/>
      <c r="Q32" s="11"/>
      <c r="R32" s="11"/>
      <c r="S32" s="11"/>
      <c r="T32" s="11"/>
      <c r="U32" s="11"/>
      <c r="V32" s="11"/>
    </row>
    <row r="33" spans="1:22" s="1" customFormat="1" ht="15.75" hidden="1" x14ac:dyDescent="0.25"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11"/>
      <c r="P33" s="11"/>
      <c r="Q33" s="11"/>
      <c r="R33" s="11"/>
      <c r="S33" s="11"/>
      <c r="T33" s="11"/>
      <c r="U33" s="11"/>
      <c r="V33" s="11"/>
    </row>
    <row r="34" spans="1:22" s="1" customFormat="1" ht="15.75" hidden="1" x14ac:dyDescent="0.25">
      <c r="A34" s="299" t="s">
        <v>451</v>
      </c>
      <c r="B34" s="307" t="s">
        <v>72</v>
      </c>
      <c r="C34" s="305" t="s">
        <v>64</v>
      </c>
      <c r="D34" s="305"/>
      <c r="E34" s="305"/>
      <c r="F34" s="305" t="s">
        <v>142</v>
      </c>
      <c r="G34" s="305"/>
      <c r="H34" s="305"/>
      <c r="I34" s="305" t="s">
        <v>143</v>
      </c>
      <c r="J34" s="305"/>
      <c r="K34" s="305"/>
      <c r="L34" s="305" t="s">
        <v>43</v>
      </c>
      <c r="M34" s="305"/>
      <c r="N34" s="305"/>
      <c r="O34" s="11"/>
      <c r="P34" s="11"/>
      <c r="Q34" s="11"/>
      <c r="R34" s="11"/>
      <c r="S34" s="11"/>
      <c r="T34" s="11"/>
      <c r="U34" s="11"/>
      <c r="V34" s="11"/>
    </row>
    <row r="35" spans="1:22" s="1" customFormat="1" ht="15.75" hidden="1" x14ac:dyDescent="0.25">
      <c r="A35" s="299"/>
      <c r="B35" s="307"/>
      <c r="C35" s="168" t="s">
        <v>8</v>
      </c>
      <c r="D35" s="168" t="s">
        <v>9</v>
      </c>
      <c r="E35" s="168" t="s">
        <v>399</v>
      </c>
      <c r="F35" s="168" t="s">
        <v>8</v>
      </c>
      <c r="G35" s="168" t="s">
        <v>9</v>
      </c>
      <c r="H35" s="168" t="s">
        <v>399</v>
      </c>
      <c r="I35" s="168" t="s">
        <v>8</v>
      </c>
      <c r="J35" s="168" t="s">
        <v>9</v>
      </c>
      <c r="K35" s="168" t="s">
        <v>399</v>
      </c>
      <c r="L35" s="168" t="s">
        <v>8</v>
      </c>
      <c r="M35" s="168" t="s">
        <v>9</v>
      </c>
      <c r="N35" s="168" t="s">
        <v>399</v>
      </c>
      <c r="O35" s="11"/>
      <c r="P35" s="11"/>
      <c r="Q35" s="11"/>
      <c r="R35" s="11"/>
      <c r="S35" s="11"/>
      <c r="T35" s="11"/>
      <c r="U35" s="11"/>
      <c r="V35" s="11"/>
    </row>
    <row r="36" spans="1:22" s="1" customFormat="1" ht="38.25" hidden="1" x14ac:dyDescent="0.25">
      <c r="A36" s="299"/>
      <c r="B36" s="307"/>
      <c r="C36" s="169" t="s">
        <v>44</v>
      </c>
      <c r="D36" s="169" t="s">
        <v>45</v>
      </c>
      <c r="E36" s="169" t="s">
        <v>46</v>
      </c>
      <c r="F36" s="169" t="s">
        <v>44</v>
      </c>
      <c r="G36" s="169" t="s">
        <v>45</v>
      </c>
      <c r="H36" s="169" t="s">
        <v>46</v>
      </c>
      <c r="I36" s="169" t="s">
        <v>44</v>
      </c>
      <c r="J36" s="169" t="s">
        <v>45</v>
      </c>
      <c r="K36" s="169" t="s">
        <v>46</v>
      </c>
      <c r="L36" s="169" t="s">
        <v>44</v>
      </c>
      <c r="M36" s="169" t="s">
        <v>45</v>
      </c>
      <c r="N36" s="169" t="s">
        <v>46</v>
      </c>
      <c r="O36" s="11"/>
      <c r="P36" s="11"/>
      <c r="Q36" s="11"/>
      <c r="R36" s="11"/>
      <c r="S36" s="11"/>
      <c r="T36" s="11"/>
      <c r="U36" s="11"/>
      <c r="V36" s="11"/>
    </row>
    <row r="37" spans="1:22" s="1" customFormat="1" ht="15.75" hidden="1" x14ac:dyDescent="0.25">
      <c r="A37" s="167" t="s">
        <v>190</v>
      </c>
      <c r="B37" s="164" t="s">
        <v>73</v>
      </c>
      <c r="C37" s="164" t="s">
        <v>47</v>
      </c>
      <c r="D37" s="164" t="s">
        <v>48</v>
      </c>
      <c r="E37" s="164" t="s">
        <v>49</v>
      </c>
      <c r="F37" s="164" t="s">
        <v>52</v>
      </c>
      <c r="G37" s="164" t="s">
        <v>53</v>
      </c>
      <c r="H37" s="164" t="s">
        <v>91</v>
      </c>
      <c r="I37" s="164" t="s">
        <v>92</v>
      </c>
      <c r="J37" s="164" t="s">
        <v>93</v>
      </c>
      <c r="K37" s="164" t="s">
        <v>94</v>
      </c>
      <c r="L37" s="164" t="s">
        <v>115</v>
      </c>
      <c r="M37" s="164" t="s">
        <v>126</v>
      </c>
      <c r="N37" s="164" t="s">
        <v>127</v>
      </c>
      <c r="O37" s="11"/>
      <c r="P37" s="11"/>
      <c r="Q37" s="11"/>
      <c r="R37" s="11"/>
      <c r="S37" s="11"/>
      <c r="T37" s="11"/>
      <c r="U37" s="11"/>
      <c r="V37" s="11"/>
    </row>
    <row r="38" spans="1:22" s="1" customFormat="1" ht="26.25" hidden="1" customHeight="1" x14ac:dyDescent="0.25">
      <c r="A38" s="4"/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1"/>
      <c r="P38" s="11"/>
      <c r="Q38" s="11"/>
      <c r="R38" s="11"/>
      <c r="S38" s="11"/>
      <c r="T38" s="11"/>
      <c r="U38" s="11"/>
      <c r="V38" s="11"/>
    </row>
    <row r="39" spans="1:22" s="1" customFormat="1" ht="15.75" hidden="1" x14ac:dyDescent="0.25">
      <c r="A39" s="167" t="s">
        <v>427</v>
      </c>
      <c r="B39" s="164" t="s">
        <v>1</v>
      </c>
      <c r="C39" s="164" t="s">
        <v>1</v>
      </c>
      <c r="D39" s="164" t="s">
        <v>1</v>
      </c>
      <c r="E39" s="164" t="s">
        <v>1</v>
      </c>
      <c r="F39" s="164" t="s">
        <v>1</v>
      </c>
      <c r="G39" s="164" t="s">
        <v>1</v>
      </c>
      <c r="H39" s="164" t="s">
        <v>1</v>
      </c>
      <c r="I39" s="164" t="s">
        <v>1</v>
      </c>
      <c r="J39" s="164" t="s">
        <v>1</v>
      </c>
      <c r="K39" s="164" t="s">
        <v>1</v>
      </c>
      <c r="L39" s="94">
        <f>SUM(L38:L38)</f>
        <v>0</v>
      </c>
      <c r="M39" s="94">
        <f>SUM(M38:M38)</f>
        <v>0</v>
      </c>
      <c r="N39" s="94">
        <f>SUM(N38:N38)</f>
        <v>0</v>
      </c>
      <c r="O39" s="11"/>
      <c r="P39" s="11"/>
      <c r="Q39" s="11"/>
      <c r="R39" s="11"/>
      <c r="S39" s="11"/>
      <c r="T39" s="11"/>
      <c r="U39" s="11"/>
      <c r="V39" s="11"/>
    </row>
    <row r="40" spans="1:22" s="1" customFormat="1" ht="9.75" customHeight="1" x14ac:dyDescent="0.25">
      <c r="A40" s="23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192"/>
      <c r="M40" s="192"/>
      <c r="N40" s="192"/>
      <c r="O40" s="11"/>
      <c r="P40" s="11"/>
      <c r="Q40" s="11"/>
      <c r="R40" s="11"/>
      <c r="S40" s="11"/>
      <c r="T40" s="11"/>
      <c r="U40" s="11"/>
      <c r="V40" s="11"/>
    </row>
    <row r="41" spans="1:22" s="1" customFormat="1" ht="15.75" x14ac:dyDescent="0.25">
      <c r="A41" s="8" t="s">
        <v>529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11"/>
      <c r="P41" s="11"/>
      <c r="Q41" s="11"/>
      <c r="R41" s="11"/>
      <c r="S41" s="11"/>
      <c r="T41" s="11"/>
      <c r="U41" s="11"/>
      <c r="V41" s="11"/>
    </row>
    <row r="42" spans="1:22" s="1" customFormat="1" ht="15.75" x14ac:dyDescent="0.25"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11"/>
      <c r="P42" s="11"/>
      <c r="Q42" s="11"/>
      <c r="R42" s="11"/>
      <c r="S42" s="11"/>
      <c r="T42" s="11"/>
      <c r="U42" s="11"/>
      <c r="V42" s="11"/>
    </row>
    <row r="43" spans="1:22" s="1" customFormat="1" ht="15.75" x14ac:dyDescent="0.25">
      <c r="A43" s="269" t="s">
        <v>451</v>
      </c>
      <c r="B43" s="307" t="s">
        <v>144</v>
      </c>
      <c r="C43" s="306" t="s">
        <v>65</v>
      </c>
      <c r="D43" s="306"/>
      <c r="E43" s="306"/>
      <c r="F43" s="306" t="s">
        <v>145</v>
      </c>
      <c r="G43" s="306"/>
      <c r="H43" s="306"/>
      <c r="I43" s="306" t="s">
        <v>43</v>
      </c>
      <c r="J43" s="306"/>
      <c r="K43" s="306"/>
      <c r="L43" s="85"/>
      <c r="M43" s="85"/>
      <c r="N43" s="85"/>
      <c r="O43" s="11"/>
      <c r="P43" s="11"/>
      <c r="Q43" s="11"/>
      <c r="R43" s="11"/>
      <c r="S43" s="11"/>
      <c r="T43" s="11"/>
      <c r="U43" s="11"/>
      <c r="V43" s="11"/>
    </row>
    <row r="44" spans="1:22" s="1" customFormat="1" ht="15.75" x14ac:dyDescent="0.25">
      <c r="A44" s="269"/>
      <c r="B44" s="307"/>
      <c r="C44" s="253" t="s">
        <v>399</v>
      </c>
      <c r="D44" s="253" t="s">
        <v>611</v>
      </c>
      <c r="E44" s="253" t="s">
        <v>650</v>
      </c>
      <c r="F44" s="253" t="s">
        <v>399</v>
      </c>
      <c r="G44" s="253" t="s">
        <v>611</v>
      </c>
      <c r="H44" s="253" t="s">
        <v>650</v>
      </c>
      <c r="I44" s="253" t="s">
        <v>399</v>
      </c>
      <c r="J44" s="253" t="s">
        <v>611</v>
      </c>
      <c r="K44" s="253" t="s">
        <v>650</v>
      </c>
      <c r="L44" s="85"/>
      <c r="M44" s="85"/>
      <c r="N44" s="85"/>
      <c r="O44" s="11"/>
      <c r="P44" s="11"/>
      <c r="Q44" s="11"/>
      <c r="R44" s="11"/>
      <c r="S44" s="11"/>
      <c r="T44" s="11"/>
      <c r="U44" s="11"/>
      <c r="V44" s="11"/>
    </row>
    <row r="45" spans="1:22" s="1" customFormat="1" ht="38.25" x14ac:dyDescent="0.25">
      <c r="A45" s="269"/>
      <c r="B45" s="307"/>
      <c r="C45" s="169" t="s">
        <v>44</v>
      </c>
      <c r="D45" s="170" t="s">
        <v>45</v>
      </c>
      <c r="E45" s="170" t="s">
        <v>46</v>
      </c>
      <c r="F45" s="169" t="s">
        <v>44</v>
      </c>
      <c r="G45" s="170" t="s">
        <v>45</v>
      </c>
      <c r="H45" s="170" t="s">
        <v>46</v>
      </c>
      <c r="I45" s="169" t="s">
        <v>44</v>
      </c>
      <c r="J45" s="170" t="s">
        <v>45</v>
      </c>
      <c r="K45" s="170" t="s">
        <v>46</v>
      </c>
      <c r="L45" s="85"/>
      <c r="M45" s="85"/>
      <c r="N45" s="85"/>
      <c r="O45" s="11"/>
      <c r="P45" s="11"/>
      <c r="Q45" s="11"/>
      <c r="R45" s="11"/>
      <c r="S45" s="11"/>
      <c r="T45" s="11"/>
      <c r="U45" s="11"/>
      <c r="V45" s="11"/>
    </row>
    <row r="46" spans="1:22" s="1" customFormat="1" ht="15.75" x14ac:dyDescent="0.25">
      <c r="A46" s="167" t="s">
        <v>190</v>
      </c>
      <c r="B46" s="164" t="s">
        <v>73</v>
      </c>
      <c r="C46" s="164" t="s">
        <v>47</v>
      </c>
      <c r="D46" s="164" t="s">
        <v>48</v>
      </c>
      <c r="E46" s="164" t="s">
        <v>49</v>
      </c>
      <c r="F46" s="164" t="s">
        <v>52</v>
      </c>
      <c r="G46" s="164" t="s">
        <v>53</v>
      </c>
      <c r="H46" s="164" t="s">
        <v>91</v>
      </c>
      <c r="I46" s="164" t="s">
        <v>92</v>
      </c>
      <c r="J46" s="164" t="s">
        <v>93</v>
      </c>
      <c r="K46" s="164" t="s">
        <v>94</v>
      </c>
      <c r="L46" s="85"/>
      <c r="M46" s="85"/>
      <c r="N46" s="85"/>
      <c r="O46" s="11"/>
      <c r="P46" s="11"/>
      <c r="Q46" s="11"/>
      <c r="R46" s="11"/>
      <c r="S46" s="11"/>
      <c r="T46" s="11"/>
      <c r="U46" s="11"/>
      <c r="V46" s="11"/>
    </row>
    <row r="47" spans="1:22" s="1" customFormat="1" ht="15.75" x14ac:dyDescent="0.25">
      <c r="A47" s="171"/>
      <c r="B47" s="164"/>
      <c r="C47" s="93"/>
      <c r="D47" s="93"/>
      <c r="E47" s="93"/>
      <c r="F47" s="184"/>
      <c r="G47" s="184"/>
      <c r="H47" s="197"/>
      <c r="I47" s="184">
        <f>C47*F47</f>
        <v>0</v>
      </c>
      <c r="J47" s="184"/>
      <c r="K47" s="184"/>
      <c r="L47" s="85"/>
      <c r="M47" s="85"/>
      <c r="N47" s="85"/>
      <c r="O47" s="11"/>
      <c r="P47" s="11"/>
      <c r="Q47" s="11"/>
      <c r="R47" s="11"/>
      <c r="S47" s="11"/>
      <c r="T47" s="11"/>
      <c r="U47" s="11"/>
      <c r="V47" s="11"/>
    </row>
    <row r="48" spans="1:22" s="1" customFormat="1" ht="15.75" x14ac:dyDescent="0.25">
      <c r="A48" s="167" t="s">
        <v>427</v>
      </c>
      <c r="B48" s="164" t="s">
        <v>95</v>
      </c>
      <c r="C48" s="184" t="s">
        <v>1</v>
      </c>
      <c r="D48" s="184" t="s">
        <v>1</v>
      </c>
      <c r="E48" s="184" t="s">
        <v>1</v>
      </c>
      <c r="F48" s="184" t="s">
        <v>1</v>
      </c>
      <c r="G48" s="184" t="s">
        <v>1</v>
      </c>
      <c r="H48" s="184" t="s">
        <v>1</v>
      </c>
      <c r="I48" s="30">
        <f>SUM(I47:I47)</f>
        <v>0</v>
      </c>
      <c r="J48" s="30">
        <f>SUM(J47:J47)</f>
        <v>0</v>
      </c>
      <c r="K48" s="30">
        <f>SUM(K47:K47)</f>
        <v>0</v>
      </c>
      <c r="L48" s="85"/>
      <c r="M48" s="85"/>
      <c r="N48" s="85"/>
      <c r="O48" s="11"/>
      <c r="P48" s="11"/>
      <c r="Q48" s="11"/>
      <c r="R48" s="11"/>
      <c r="S48" s="11"/>
      <c r="T48" s="11"/>
      <c r="U48" s="11"/>
      <c r="V48" s="11"/>
    </row>
    <row r="49" spans="1:22" s="1" customFormat="1" ht="15.75" x14ac:dyDescent="0.25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11"/>
      <c r="P49" s="11"/>
      <c r="Q49" s="11"/>
      <c r="R49" s="11"/>
      <c r="S49" s="11"/>
      <c r="T49" s="11"/>
      <c r="U49" s="11"/>
      <c r="V49" s="11"/>
    </row>
    <row r="50" spans="1:22" s="1" customFormat="1" ht="15.75" hidden="1" x14ac:dyDescent="0.25">
      <c r="A50" s="8" t="s">
        <v>482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11"/>
      <c r="P50" s="11"/>
      <c r="Q50" s="11"/>
      <c r="R50" s="11"/>
      <c r="S50" s="11"/>
      <c r="T50" s="11"/>
      <c r="U50" s="11"/>
      <c r="V50" s="11"/>
    </row>
    <row r="51" spans="1:22" s="1" customFormat="1" ht="15.75" hidden="1" x14ac:dyDescent="0.25"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11"/>
      <c r="P51" s="11"/>
      <c r="Q51" s="11"/>
      <c r="R51" s="11"/>
      <c r="S51" s="11"/>
      <c r="T51" s="11"/>
      <c r="U51" s="11"/>
      <c r="V51" s="11"/>
    </row>
    <row r="52" spans="1:22" s="1" customFormat="1" ht="15.75" hidden="1" x14ac:dyDescent="0.25">
      <c r="A52" s="299" t="s">
        <v>451</v>
      </c>
      <c r="B52" s="307" t="s">
        <v>72</v>
      </c>
      <c r="C52" s="308" t="s">
        <v>66</v>
      </c>
      <c r="D52" s="308"/>
      <c r="E52" s="308"/>
      <c r="F52" s="305" t="s">
        <v>146</v>
      </c>
      <c r="G52" s="305"/>
      <c r="H52" s="305"/>
      <c r="I52" s="305" t="s">
        <v>43</v>
      </c>
      <c r="J52" s="305"/>
      <c r="K52" s="305"/>
      <c r="L52" s="85"/>
      <c r="M52" s="85"/>
      <c r="N52" s="85"/>
      <c r="O52" s="11"/>
      <c r="P52" s="11"/>
      <c r="Q52" s="11"/>
      <c r="R52" s="11"/>
      <c r="S52" s="11"/>
      <c r="T52" s="11"/>
      <c r="U52" s="11"/>
      <c r="V52" s="11"/>
    </row>
    <row r="53" spans="1:22" s="1" customFormat="1" ht="15.75" hidden="1" x14ac:dyDescent="0.25">
      <c r="A53" s="299"/>
      <c r="B53" s="307"/>
      <c r="C53" s="164" t="s">
        <v>8</v>
      </c>
      <c r="D53" s="164" t="s">
        <v>9</v>
      </c>
      <c r="E53" s="164" t="s">
        <v>399</v>
      </c>
      <c r="F53" s="164" t="s">
        <v>8</v>
      </c>
      <c r="G53" s="164" t="s">
        <v>9</v>
      </c>
      <c r="H53" s="164" t="s">
        <v>399</v>
      </c>
      <c r="I53" s="164" t="s">
        <v>8</v>
      </c>
      <c r="J53" s="164" t="s">
        <v>9</v>
      </c>
      <c r="K53" s="164" t="s">
        <v>399</v>
      </c>
      <c r="L53" s="85"/>
      <c r="M53" s="85"/>
      <c r="N53" s="85"/>
      <c r="O53" s="11"/>
      <c r="P53" s="11"/>
      <c r="Q53" s="11"/>
      <c r="R53" s="11"/>
      <c r="S53" s="11"/>
      <c r="T53" s="11"/>
      <c r="U53" s="11"/>
      <c r="V53" s="11"/>
    </row>
    <row r="54" spans="1:22" s="1" customFormat="1" ht="42" hidden="1" customHeight="1" x14ac:dyDescent="0.25">
      <c r="A54" s="299"/>
      <c r="B54" s="307"/>
      <c r="C54" s="169" t="s">
        <v>44</v>
      </c>
      <c r="D54" s="169" t="s">
        <v>45</v>
      </c>
      <c r="E54" s="169" t="s">
        <v>46</v>
      </c>
      <c r="F54" s="169" t="s">
        <v>44</v>
      </c>
      <c r="G54" s="169" t="s">
        <v>45</v>
      </c>
      <c r="H54" s="169" t="s">
        <v>46</v>
      </c>
      <c r="I54" s="169" t="s">
        <v>44</v>
      </c>
      <c r="J54" s="169" t="s">
        <v>45</v>
      </c>
      <c r="K54" s="169" t="s">
        <v>46</v>
      </c>
      <c r="L54" s="85"/>
      <c r="M54" s="85"/>
      <c r="N54" s="85"/>
      <c r="O54" s="11"/>
      <c r="P54" s="11"/>
      <c r="Q54" s="11"/>
      <c r="R54" s="11"/>
      <c r="S54" s="11"/>
      <c r="T54" s="11"/>
      <c r="U54" s="11"/>
      <c r="V54" s="11"/>
    </row>
    <row r="55" spans="1:22" s="1" customFormat="1" ht="15.75" hidden="1" x14ac:dyDescent="0.25">
      <c r="A55" s="167" t="s">
        <v>190</v>
      </c>
      <c r="B55" s="164" t="s">
        <v>73</v>
      </c>
      <c r="C55" s="164" t="s">
        <v>47</v>
      </c>
      <c r="D55" s="164" t="s">
        <v>48</v>
      </c>
      <c r="E55" s="164" t="s">
        <v>49</v>
      </c>
      <c r="F55" s="164" t="s">
        <v>52</v>
      </c>
      <c r="G55" s="164" t="s">
        <v>53</v>
      </c>
      <c r="H55" s="164" t="s">
        <v>91</v>
      </c>
      <c r="I55" s="164" t="s">
        <v>92</v>
      </c>
      <c r="J55" s="164" t="s">
        <v>93</v>
      </c>
      <c r="K55" s="164" t="s">
        <v>94</v>
      </c>
      <c r="L55" s="85"/>
      <c r="M55" s="85"/>
      <c r="N55" s="85"/>
      <c r="O55" s="11"/>
      <c r="P55" s="11"/>
      <c r="Q55" s="11"/>
      <c r="R55" s="11"/>
      <c r="S55" s="11"/>
      <c r="T55" s="11"/>
      <c r="U55" s="11"/>
      <c r="V55" s="11"/>
    </row>
    <row r="56" spans="1:22" s="1" customFormat="1" ht="15.75" hidden="1" x14ac:dyDescent="0.25">
      <c r="A56" s="4"/>
      <c r="B56" s="96"/>
      <c r="C56" s="114"/>
      <c r="D56" s="114"/>
      <c r="E56" s="114"/>
      <c r="F56" s="164"/>
      <c r="G56" s="164"/>
      <c r="H56" s="164"/>
      <c r="I56" s="164"/>
      <c r="J56" s="164"/>
      <c r="K56" s="164"/>
      <c r="L56" s="85"/>
      <c r="M56" s="85"/>
      <c r="N56" s="85"/>
      <c r="O56" s="11"/>
      <c r="P56" s="11"/>
      <c r="Q56" s="11"/>
      <c r="R56" s="11"/>
      <c r="S56" s="11"/>
      <c r="T56" s="11"/>
      <c r="U56" s="11"/>
      <c r="V56" s="11"/>
    </row>
    <row r="57" spans="1:22" s="1" customFormat="1" ht="15.75" hidden="1" x14ac:dyDescent="0.25">
      <c r="A57" s="4"/>
      <c r="B57" s="96"/>
      <c r="C57" s="114"/>
      <c r="D57" s="114"/>
      <c r="E57" s="114"/>
      <c r="F57" s="164"/>
      <c r="G57" s="164"/>
      <c r="H57" s="164"/>
      <c r="I57" s="164"/>
      <c r="J57" s="164"/>
      <c r="K57" s="164"/>
      <c r="L57" s="85"/>
      <c r="M57" s="85"/>
      <c r="N57" s="85"/>
      <c r="O57" s="11"/>
      <c r="P57" s="11"/>
      <c r="Q57" s="11"/>
      <c r="R57" s="11"/>
      <c r="S57" s="11"/>
      <c r="T57" s="11"/>
      <c r="U57" s="11"/>
      <c r="V57" s="11"/>
    </row>
    <row r="58" spans="1:22" s="1" customFormat="1" ht="15.75" hidden="1" customHeight="1" x14ac:dyDescent="0.25">
      <c r="A58" s="4"/>
      <c r="B58" s="96"/>
      <c r="C58" s="114"/>
      <c r="D58" s="114"/>
      <c r="E58" s="114"/>
      <c r="F58" s="164"/>
      <c r="G58" s="164"/>
      <c r="H58" s="164"/>
      <c r="I58" s="164"/>
      <c r="J58" s="164"/>
      <c r="K58" s="164"/>
      <c r="L58" s="85"/>
      <c r="M58" s="85"/>
      <c r="N58" s="85"/>
      <c r="O58" s="11"/>
      <c r="P58" s="11"/>
      <c r="Q58" s="11"/>
      <c r="R58" s="11"/>
      <c r="S58" s="11"/>
      <c r="T58" s="11"/>
      <c r="U58" s="11"/>
      <c r="V58" s="11"/>
    </row>
    <row r="59" spans="1:22" s="1" customFormat="1" ht="24.75" hidden="1" customHeight="1" x14ac:dyDescent="0.25">
      <c r="A59" s="4"/>
      <c r="B59" s="96"/>
      <c r="C59" s="114"/>
      <c r="D59" s="114"/>
      <c r="E59" s="114"/>
      <c r="F59" s="164"/>
      <c r="G59" s="164"/>
      <c r="H59" s="164"/>
      <c r="I59" s="164"/>
      <c r="J59" s="164"/>
      <c r="K59" s="164"/>
      <c r="L59" s="85"/>
      <c r="M59" s="85"/>
      <c r="N59" s="85"/>
      <c r="O59" s="11"/>
      <c r="P59" s="11"/>
      <c r="Q59" s="11"/>
      <c r="R59" s="11"/>
      <c r="S59" s="11"/>
      <c r="T59" s="11"/>
      <c r="U59" s="11"/>
      <c r="V59" s="11"/>
    </row>
    <row r="60" spans="1:22" s="1" customFormat="1" ht="13.5" hidden="1" customHeight="1" x14ac:dyDescent="0.25">
      <c r="A60" s="4"/>
      <c r="B60" s="96"/>
      <c r="C60" s="114"/>
      <c r="D60" s="114"/>
      <c r="E60" s="114"/>
      <c r="F60" s="164"/>
      <c r="G60" s="164"/>
      <c r="H60" s="164"/>
      <c r="I60" s="164"/>
      <c r="J60" s="164"/>
      <c r="K60" s="164"/>
      <c r="L60" s="85"/>
      <c r="M60" s="85"/>
      <c r="N60" s="85"/>
      <c r="O60" s="11"/>
      <c r="P60" s="11"/>
      <c r="Q60" s="11"/>
      <c r="R60" s="11"/>
      <c r="S60" s="11"/>
      <c r="T60" s="11"/>
      <c r="U60" s="11"/>
      <c r="V60" s="11"/>
    </row>
    <row r="61" spans="1:22" s="1" customFormat="1" ht="15.75" hidden="1" customHeight="1" x14ac:dyDescent="0.25">
      <c r="A61" s="66" t="s">
        <v>191</v>
      </c>
      <c r="B61" s="164" t="s">
        <v>1</v>
      </c>
      <c r="C61" s="164" t="s">
        <v>1</v>
      </c>
      <c r="D61" s="164" t="s">
        <v>1</v>
      </c>
      <c r="E61" s="164" t="s">
        <v>1</v>
      </c>
      <c r="F61" s="164" t="s">
        <v>1</v>
      </c>
      <c r="G61" s="164" t="s">
        <v>1</v>
      </c>
      <c r="H61" s="164" t="s">
        <v>1</v>
      </c>
      <c r="I61" s="94">
        <f>SUM(I56:I60)-0.01</f>
        <v>-0.01</v>
      </c>
      <c r="J61" s="94">
        <f>SUM(J56:J60)-0.01</f>
        <v>-0.01</v>
      </c>
      <c r="K61" s="94">
        <f>SUM(K56:K60)-0.01</f>
        <v>-0.01</v>
      </c>
      <c r="L61" s="85"/>
      <c r="M61" s="85"/>
      <c r="N61" s="85"/>
      <c r="O61" s="11"/>
      <c r="P61" s="11"/>
      <c r="Q61" s="11"/>
      <c r="R61" s="11"/>
      <c r="S61" s="11"/>
      <c r="T61" s="11"/>
      <c r="U61" s="11"/>
      <c r="V61" s="11"/>
    </row>
    <row r="62" spans="1:22" s="1" customFormat="1" ht="15.75" hidden="1" x14ac:dyDescent="0.25">
      <c r="A62" s="173"/>
      <c r="B62" s="89"/>
      <c r="C62" s="89"/>
      <c r="D62" s="89"/>
      <c r="E62" s="89"/>
      <c r="F62" s="89"/>
      <c r="G62" s="89"/>
      <c r="H62" s="89"/>
      <c r="I62" s="90"/>
      <c r="J62" s="90"/>
      <c r="K62" s="90"/>
      <c r="L62" s="85"/>
      <c r="M62" s="85"/>
      <c r="N62" s="85"/>
      <c r="O62" s="11"/>
      <c r="P62" s="11"/>
      <c r="Q62" s="11"/>
      <c r="R62" s="11"/>
      <c r="S62" s="11"/>
      <c r="T62" s="11"/>
      <c r="U62" s="11"/>
      <c r="V62" s="11"/>
    </row>
    <row r="63" spans="1:22" s="1" customFormat="1" ht="15.75" hidden="1" x14ac:dyDescent="0.25">
      <c r="A63" s="8" t="s">
        <v>486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11"/>
      <c r="P63" s="11"/>
      <c r="Q63" s="11"/>
      <c r="R63" s="11"/>
      <c r="S63" s="11"/>
      <c r="T63" s="11"/>
      <c r="U63" s="11"/>
      <c r="V63" s="11"/>
    </row>
    <row r="64" spans="1:22" s="1" customFormat="1" ht="12.75" hidden="1" customHeight="1" x14ac:dyDescent="0.25"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11"/>
      <c r="P64" s="11"/>
      <c r="Q64" s="11"/>
      <c r="R64" s="11"/>
      <c r="S64" s="11"/>
      <c r="T64" s="11"/>
      <c r="U64" s="11"/>
      <c r="V64" s="11"/>
    </row>
    <row r="65" spans="1:22" s="1" customFormat="1" ht="15.75" hidden="1" x14ac:dyDescent="0.25">
      <c r="A65" s="299" t="s">
        <v>451</v>
      </c>
      <c r="B65" s="307" t="s">
        <v>72</v>
      </c>
      <c r="C65" s="308" t="s">
        <v>66</v>
      </c>
      <c r="D65" s="308"/>
      <c r="E65" s="308"/>
      <c r="F65" s="305" t="s">
        <v>146</v>
      </c>
      <c r="G65" s="305"/>
      <c r="H65" s="305"/>
      <c r="I65" s="305" t="s">
        <v>43</v>
      </c>
      <c r="J65" s="305"/>
      <c r="K65" s="305"/>
      <c r="L65" s="85"/>
      <c r="M65" s="85"/>
      <c r="N65" s="85"/>
      <c r="O65" s="11"/>
      <c r="P65" s="11"/>
      <c r="Q65" s="11"/>
      <c r="R65" s="11"/>
      <c r="S65" s="11"/>
      <c r="T65" s="11"/>
      <c r="U65" s="11"/>
      <c r="V65" s="11"/>
    </row>
    <row r="66" spans="1:22" s="1" customFormat="1" ht="15.75" hidden="1" x14ac:dyDescent="0.25">
      <c r="A66" s="299"/>
      <c r="B66" s="307"/>
      <c r="C66" s="164" t="s">
        <v>8</v>
      </c>
      <c r="D66" s="164" t="s">
        <v>9</v>
      </c>
      <c r="E66" s="164" t="s">
        <v>399</v>
      </c>
      <c r="F66" s="164" t="s">
        <v>8</v>
      </c>
      <c r="G66" s="164" t="s">
        <v>9</v>
      </c>
      <c r="H66" s="164" t="s">
        <v>399</v>
      </c>
      <c r="I66" s="164" t="s">
        <v>8</v>
      </c>
      <c r="J66" s="164" t="s">
        <v>9</v>
      </c>
      <c r="K66" s="164" t="s">
        <v>399</v>
      </c>
      <c r="L66" s="85"/>
      <c r="M66" s="85"/>
      <c r="N66" s="85"/>
      <c r="O66" s="11"/>
      <c r="P66" s="11"/>
      <c r="Q66" s="11"/>
      <c r="R66" s="11"/>
      <c r="S66" s="11"/>
      <c r="T66" s="11"/>
      <c r="U66" s="11"/>
      <c r="V66" s="11"/>
    </row>
    <row r="67" spans="1:22" s="1" customFormat="1" ht="38.25" hidden="1" x14ac:dyDescent="0.25">
      <c r="A67" s="299"/>
      <c r="B67" s="307"/>
      <c r="C67" s="169" t="s">
        <v>44</v>
      </c>
      <c r="D67" s="169" t="s">
        <v>45</v>
      </c>
      <c r="E67" s="169" t="s">
        <v>46</v>
      </c>
      <c r="F67" s="169" t="s">
        <v>44</v>
      </c>
      <c r="G67" s="169" t="s">
        <v>45</v>
      </c>
      <c r="H67" s="169" t="s">
        <v>46</v>
      </c>
      <c r="I67" s="169" t="s">
        <v>44</v>
      </c>
      <c r="J67" s="169" t="s">
        <v>45</v>
      </c>
      <c r="K67" s="169" t="s">
        <v>46</v>
      </c>
      <c r="L67" s="85"/>
      <c r="M67" s="85"/>
      <c r="N67" s="85"/>
      <c r="O67" s="11"/>
      <c r="P67" s="11"/>
      <c r="Q67" s="11"/>
      <c r="R67" s="11"/>
      <c r="S67" s="11"/>
      <c r="T67" s="11"/>
      <c r="U67" s="11"/>
      <c r="V67" s="11"/>
    </row>
    <row r="68" spans="1:22" s="1" customFormat="1" ht="15.75" hidden="1" x14ac:dyDescent="0.25">
      <c r="A68" s="167" t="s">
        <v>190</v>
      </c>
      <c r="B68" s="164" t="s">
        <v>73</v>
      </c>
      <c r="C68" s="164" t="s">
        <v>47</v>
      </c>
      <c r="D68" s="164" t="s">
        <v>48</v>
      </c>
      <c r="E68" s="164" t="s">
        <v>49</v>
      </c>
      <c r="F68" s="164" t="s">
        <v>52</v>
      </c>
      <c r="G68" s="164" t="s">
        <v>53</v>
      </c>
      <c r="H68" s="164" t="s">
        <v>91</v>
      </c>
      <c r="I68" s="164" t="s">
        <v>92</v>
      </c>
      <c r="J68" s="164" t="s">
        <v>93</v>
      </c>
      <c r="K68" s="164" t="s">
        <v>94</v>
      </c>
      <c r="L68" s="85"/>
      <c r="M68" s="85"/>
      <c r="N68" s="85"/>
      <c r="O68" s="11"/>
      <c r="P68" s="11"/>
      <c r="Q68" s="11"/>
      <c r="R68" s="11"/>
      <c r="S68" s="11"/>
      <c r="T68" s="11"/>
      <c r="U68" s="11"/>
      <c r="V68" s="11"/>
    </row>
    <row r="69" spans="1:22" s="1" customFormat="1" ht="15.75" hidden="1" x14ac:dyDescent="0.25">
      <c r="A69" s="4"/>
      <c r="B69" s="96"/>
      <c r="C69" s="114"/>
      <c r="D69" s="114"/>
      <c r="E69" s="114"/>
      <c r="F69" s="164"/>
      <c r="G69" s="164"/>
      <c r="H69" s="164"/>
      <c r="I69" s="164"/>
      <c r="J69" s="164"/>
      <c r="K69" s="164"/>
      <c r="L69" s="85"/>
      <c r="M69" s="85"/>
      <c r="N69" s="85"/>
      <c r="O69" s="11"/>
      <c r="P69" s="11"/>
      <c r="Q69" s="11"/>
      <c r="R69" s="11"/>
      <c r="S69" s="11"/>
      <c r="T69" s="11"/>
      <c r="U69" s="11"/>
      <c r="V69" s="11"/>
    </row>
    <row r="70" spans="1:22" s="1" customFormat="1" ht="15.75" hidden="1" x14ac:dyDescent="0.25">
      <c r="A70" s="4"/>
      <c r="B70" s="96"/>
      <c r="C70" s="93"/>
      <c r="D70" s="93"/>
      <c r="E70" s="93"/>
      <c r="F70" s="164"/>
      <c r="G70" s="164"/>
      <c r="H70" s="164"/>
      <c r="I70" s="164"/>
      <c r="J70" s="164"/>
      <c r="K70" s="164"/>
      <c r="L70" s="85"/>
      <c r="M70" s="85"/>
      <c r="N70" s="85"/>
      <c r="O70" s="11"/>
      <c r="P70" s="11"/>
      <c r="Q70" s="11"/>
      <c r="R70" s="11"/>
      <c r="S70" s="11"/>
      <c r="T70" s="11"/>
      <c r="U70" s="11"/>
      <c r="V70" s="11"/>
    </row>
    <row r="71" spans="1:22" s="1" customFormat="1" ht="15.75" hidden="1" x14ac:dyDescent="0.25">
      <c r="A71" s="66" t="s">
        <v>191</v>
      </c>
      <c r="B71" s="164" t="s">
        <v>1</v>
      </c>
      <c r="C71" s="164" t="s">
        <v>1</v>
      </c>
      <c r="D71" s="164" t="s">
        <v>1</v>
      </c>
      <c r="E71" s="164" t="s">
        <v>1</v>
      </c>
      <c r="F71" s="164" t="s">
        <v>1</v>
      </c>
      <c r="G71" s="164" t="s">
        <v>1</v>
      </c>
      <c r="H71" s="164" t="s">
        <v>1</v>
      </c>
      <c r="I71" s="30">
        <f>SUM(I69:I70)</f>
        <v>0</v>
      </c>
      <c r="J71" s="30">
        <f t="shared" ref="J71:K71" si="5">SUM(J69:J70)</f>
        <v>0</v>
      </c>
      <c r="K71" s="30">
        <f t="shared" si="5"/>
        <v>0</v>
      </c>
      <c r="L71" s="85"/>
      <c r="M71" s="85"/>
      <c r="N71" s="85"/>
      <c r="O71" s="11"/>
      <c r="P71" s="11"/>
      <c r="Q71" s="11"/>
      <c r="R71" s="11"/>
      <c r="S71" s="11"/>
      <c r="T71" s="11"/>
      <c r="U71" s="11"/>
      <c r="V71" s="11"/>
    </row>
    <row r="72" spans="1:22" s="1" customFormat="1" ht="15.75" hidden="1" x14ac:dyDescent="0.25">
      <c r="A72" s="173"/>
      <c r="B72" s="89"/>
      <c r="C72" s="89"/>
      <c r="D72" s="89"/>
      <c r="E72" s="89"/>
      <c r="F72" s="89"/>
      <c r="G72" s="89"/>
      <c r="H72" s="89"/>
      <c r="I72" s="90"/>
      <c r="J72" s="90"/>
      <c r="K72" s="90"/>
      <c r="L72" s="85"/>
      <c r="M72" s="85"/>
      <c r="N72" s="85"/>
      <c r="O72" s="11"/>
      <c r="P72" s="11"/>
      <c r="Q72" s="11"/>
      <c r="R72" s="11"/>
      <c r="S72" s="11"/>
      <c r="T72" s="11"/>
      <c r="U72" s="11"/>
      <c r="V72" s="11"/>
    </row>
    <row r="73" spans="1:22" s="1" customFormat="1" ht="15.75" hidden="1" x14ac:dyDescent="0.25">
      <c r="A73" s="8" t="s">
        <v>500</v>
      </c>
      <c r="B73" s="85"/>
      <c r="C73" s="85"/>
      <c r="D73" s="85"/>
      <c r="E73" s="85"/>
      <c r="F73" s="85"/>
      <c r="G73" s="85"/>
      <c r="H73" s="89"/>
      <c r="I73" s="90"/>
      <c r="J73" s="90"/>
      <c r="K73" s="90"/>
      <c r="L73" s="85"/>
      <c r="M73" s="85"/>
      <c r="N73" s="85"/>
      <c r="O73" s="11"/>
      <c r="P73" s="11"/>
      <c r="Q73" s="11"/>
      <c r="R73" s="11"/>
      <c r="S73" s="11"/>
      <c r="T73" s="11"/>
      <c r="U73" s="11"/>
      <c r="V73" s="11"/>
    </row>
    <row r="74" spans="1:22" s="1" customFormat="1" ht="15.75" hidden="1" x14ac:dyDescent="0.25">
      <c r="A74" s="24"/>
      <c r="B74" s="85"/>
      <c r="C74" s="85"/>
      <c r="D74" s="85"/>
      <c r="E74" s="85"/>
      <c r="F74" s="85"/>
      <c r="G74" s="85"/>
      <c r="H74" s="89"/>
      <c r="I74" s="90"/>
      <c r="J74" s="90"/>
      <c r="K74" s="90"/>
      <c r="L74" s="85"/>
      <c r="M74" s="85"/>
      <c r="N74" s="85"/>
      <c r="O74" s="11"/>
      <c r="P74" s="11"/>
      <c r="Q74" s="11"/>
      <c r="R74" s="11"/>
      <c r="S74" s="11"/>
      <c r="T74" s="11"/>
      <c r="U74" s="11"/>
      <c r="V74" s="11"/>
    </row>
    <row r="75" spans="1:22" s="1" customFormat="1" ht="27" hidden="1" customHeight="1" x14ac:dyDescent="0.25">
      <c r="A75" s="299" t="s">
        <v>451</v>
      </c>
      <c r="B75" s="307" t="s">
        <v>72</v>
      </c>
      <c r="C75" s="308" t="s">
        <v>67</v>
      </c>
      <c r="D75" s="308"/>
      <c r="E75" s="308"/>
      <c r="F75" s="307" t="s">
        <v>147</v>
      </c>
      <c r="G75" s="307"/>
      <c r="H75" s="307"/>
      <c r="I75" s="307" t="s">
        <v>148</v>
      </c>
      <c r="J75" s="307"/>
      <c r="K75" s="307"/>
      <c r="L75" s="305" t="s">
        <v>43</v>
      </c>
      <c r="M75" s="305"/>
      <c r="N75" s="305"/>
      <c r="O75" s="11"/>
      <c r="P75" s="11"/>
      <c r="Q75" s="11"/>
      <c r="R75" s="11"/>
      <c r="S75" s="11"/>
      <c r="T75" s="11"/>
      <c r="U75" s="11"/>
      <c r="V75" s="11"/>
    </row>
    <row r="76" spans="1:22" s="1" customFormat="1" ht="16.5" hidden="1" customHeight="1" x14ac:dyDescent="0.25">
      <c r="A76" s="299"/>
      <c r="B76" s="307"/>
      <c r="C76" s="164" t="s">
        <v>8</v>
      </c>
      <c r="D76" s="164" t="s">
        <v>9</v>
      </c>
      <c r="E76" s="164" t="s">
        <v>399</v>
      </c>
      <c r="F76" s="164" t="s">
        <v>8</v>
      </c>
      <c r="G76" s="164" t="s">
        <v>9</v>
      </c>
      <c r="H76" s="164" t="s">
        <v>399</v>
      </c>
      <c r="I76" s="164" t="s">
        <v>8</v>
      </c>
      <c r="J76" s="164" t="s">
        <v>9</v>
      </c>
      <c r="K76" s="164" t="s">
        <v>399</v>
      </c>
      <c r="L76" s="168" t="s">
        <v>489</v>
      </c>
      <c r="M76" s="168" t="s">
        <v>9</v>
      </c>
      <c r="N76" s="168" t="s">
        <v>399</v>
      </c>
      <c r="O76" s="11"/>
      <c r="P76" s="11"/>
      <c r="Q76" s="11"/>
      <c r="R76" s="11"/>
      <c r="S76" s="11"/>
      <c r="T76" s="11"/>
      <c r="U76" s="11"/>
      <c r="V76" s="11"/>
    </row>
    <row r="77" spans="1:22" s="1" customFormat="1" ht="38.25" hidden="1" x14ac:dyDescent="0.25">
      <c r="A77" s="299"/>
      <c r="B77" s="307"/>
      <c r="C77" s="170" t="s">
        <v>44</v>
      </c>
      <c r="D77" s="170" t="s">
        <v>45</v>
      </c>
      <c r="E77" s="170" t="s">
        <v>46</v>
      </c>
      <c r="F77" s="170" t="s">
        <v>44</v>
      </c>
      <c r="G77" s="170" t="s">
        <v>45</v>
      </c>
      <c r="H77" s="170" t="s">
        <v>46</v>
      </c>
      <c r="I77" s="170" t="s">
        <v>44</v>
      </c>
      <c r="J77" s="170" t="s">
        <v>45</v>
      </c>
      <c r="K77" s="170" t="s">
        <v>46</v>
      </c>
      <c r="L77" s="170" t="s">
        <v>44</v>
      </c>
      <c r="M77" s="170" t="s">
        <v>45</v>
      </c>
      <c r="N77" s="170" t="s">
        <v>46</v>
      </c>
      <c r="O77" s="11"/>
      <c r="P77" s="11"/>
      <c r="Q77" s="11"/>
      <c r="R77" s="11"/>
      <c r="S77" s="11"/>
      <c r="T77" s="11"/>
      <c r="U77" s="11"/>
      <c r="V77" s="11"/>
    </row>
    <row r="78" spans="1:22" s="1" customFormat="1" ht="15.75" hidden="1" x14ac:dyDescent="0.25">
      <c r="A78" s="167" t="s">
        <v>190</v>
      </c>
      <c r="B78" s="164" t="s">
        <v>73</v>
      </c>
      <c r="C78" s="164" t="s">
        <v>47</v>
      </c>
      <c r="D78" s="164" t="s">
        <v>48</v>
      </c>
      <c r="E78" s="164" t="s">
        <v>49</v>
      </c>
      <c r="F78" s="164" t="s">
        <v>52</v>
      </c>
      <c r="G78" s="164" t="s">
        <v>53</v>
      </c>
      <c r="H78" s="164" t="s">
        <v>91</v>
      </c>
      <c r="I78" s="164" t="s">
        <v>92</v>
      </c>
      <c r="J78" s="164" t="s">
        <v>93</v>
      </c>
      <c r="K78" s="164" t="s">
        <v>94</v>
      </c>
      <c r="L78" s="164" t="s">
        <v>115</v>
      </c>
      <c r="M78" s="164" t="s">
        <v>126</v>
      </c>
      <c r="N78" s="164" t="s">
        <v>127</v>
      </c>
      <c r="O78" s="11"/>
      <c r="P78" s="11"/>
      <c r="Q78" s="11"/>
      <c r="R78" s="11"/>
      <c r="S78" s="11"/>
      <c r="T78" s="11"/>
      <c r="U78" s="11"/>
      <c r="V78" s="11"/>
    </row>
    <row r="79" spans="1:22" s="1" customFormat="1" ht="32.25" hidden="1" customHeight="1" x14ac:dyDescent="0.25">
      <c r="A79" s="4"/>
      <c r="B79" s="164"/>
      <c r="C79" s="164"/>
      <c r="D79" s="164"/>
      <c r="E79" s="164"/>
      <c r="F79" s="164"/>
      <c r="G79" s="164"/>
      <c r="H79" s="164"/>
      <c r="I79" s="164"/>
      <c r="J79" s="164"/>
      <c r="K79" s="164"/>
      <c r="L79" s="52"/>
      <c r="M79" s="164"/>
      <c r="N79" s="164"/>
      <c r="O79" s="41"/>
      <c r="P79" s="11"/>
      <c r="Q79" s="11"/>
      <c r="R79" s="11"/>
      <c r="S79" s="11"/>
      <c r="T79" s="11"/>
      <c r="U79" s="11"/>
      <c r="V79" s="11"/>
    </row>
    <row r="80" spans="1:22" s="1" customFormat="1" ht="15.75" hidden="1" x14ac:dyDescent="0.25">
      <c r="A80" s="167" t="s">
        <v>427</v>
      </c>
      <c r="B80" s="164" t="s">
        <v>1</v>
      </c>
      <c r="C80" s="164" t="s">
        <v>1</v>
      </c>
      <c r="D80" s="164" t="s">
        <v>1</v>
      </c>
      <c r="E80" s="164" t="s">
        <v>1</v>
      </c>
      <c r="F80" s="164" t="s">
        <v>1</v>
      </c>
      <c r="G80" s="164" t="s">
        <v>1</v>
      </c>
      <c r="H80" s="164" t="s">
        <v>1</v>
      </c>
      <c r="I80" s="164" t="s">
        <v>1</v>
      </c>
      <c r="J80" s="164" t="s">
        <v>1</v>
      </c>
      <c r="K80" s="164" t="s">
        <v>1</v>
      </c>
      <c r="L80" s="94">
        <f>SUM(L79:L79)</f>
        <v>0</v>
      </c>
      <c r="M80" s="94">
        <f>SUM(M79:M79)</f>
        <v>0</v>
      </c>
      <c r="N80" s="94">
        <f>SUM(N79:N79)</f>
        <v>0</v>
      </c>
      <c r="O80" s="11"/>
      <c r="P80" s="11"/>
      <c r="Q80" s="11"/>
      <c r="R80" s="11"/>
      <c r="S80" s="11"/>
      <c r="T80" s="11"/>
      <c r="U80" s="11"/>
      <c r="V80" s="11"/>
    </row>
    <row r="81" spans="1:22" s="1" customFormat="1" ht="15.75" hidden="1" x14ac:dyDescent="0.25"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11"/>
      <c r="P81" s="11"/>
      <c r="Q81" s="11"/>
      <c r="R81" s="11"/>
      <c r="S81" s="11"/>
      <c r="T81" s="11"/>
      <c r="U81" s="11"/>
      <c r="V81" s="11"/>
    </row>
    <row r="82" spans="1:22" s="1" customFormat="1" ht="15.75" hidden="1" x14ac:dyDescent="0.25">
      <c r="A82" s="8" t="s">
        <v>496</v>
      </c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11"/>
      <c r="P82" s="11"/>
      <c r="Q82" s="11"/>
      <c r="R82" s="11"/>
      <c r="S82" s="11"/>
      <c r="T82" s="11"/>
      <c r="U82" s="11"/>
      <c r="V82" s="11"/>
    </row>
    <row r="83" spans="1:22" s="1" customFormat="1" ht="15.75" hidden="1" x14ac:dyDescent="0.25"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11"/>
      <c r="P83" s="11"/>
      <c r="Q83" s="11"/>
      <c r="R83" s="11"/>
      <c r="S83" s="11"/>
      <c r="T83" s="11"/>
      <c r="U83" s="11"/>
      <c r="V83" s="11"/>
    </row>
    <row r="84" spans="1:22" s="1" customFormat="1" ht="15.75" hidden="1" x14ac:dyDescent="0.25">
      <c r="A84" s="299" t="s">
        <v>451</v>
      </c>
      <c r="B84" s="307" t="s">
        <v>72</v>
      </c>
      <c r="C84" s="275" t="s">
        <v>68</v>
      </c>
      <c r="D84" s="275"/>
      <c r="E84" s="275"/>
      <c r="F84" s="275" t="s">
        <v>149</v>
      </c>
      <c r="G84" s="275"/>
      <c r="H84" s="275"/>
      <c r="I84" s="275" t="s">
        <v>43</v>
      </c>
      <c r="J84" s="275"/>
      <c r="K84" s="275"/>
      <c r="L84" s="85"/>
      <c r="M84" s="85"/>
      <c r="N84" s="85"/>
      <c r="O84" s="11"/>
      <c r="P84" s="11"/>
      <c r="Q84" s="11"/>
      <c r="R84" s="11"/>
      <c r="S84" s="11"/>
      <c r="T84" s="11"/>
      <c r="U84" s="11"/>
      <c r="V84" s="11"/>
    </row>
    <row r="85" spans="1:22" s="1" customFormat="1" ht="15.75" hidden="1" x14ac:dyDescent="0.25">
      <c r="A85" s="299"/>
      <c r="B85" s="307"/>
      <c r="C85" s="164" t="s">
        <v>8</v>
      </c>
      <c r="D85" s="164" t="s">
        <v>9</v>
      </c>
      <c r="E85" s="164" t="s">
        <v>399</v>
      </c>
      <c r="F85" s="164" t="s">
        <v>8</v>
      </c>
      <c r="G85" s="164" t="s">
        <v>9</v>
      </c>
      <c r="H85" s="164" t="s">
        <v>399</v>
      </c>
      <c r="I85" s="164" t="s">
        <v>8</v>
      </c>
      <c r="J85" s="164" t="s">
        <v>9</v>
      </c>
      <c r="K85" s="164" t="s">
        <v>399</v>
      </c>
      <c r="L85" s="85"/>
      <c r="M85" s="85"/>
      <c r="N85" s="85"/>
      <c r="O85" s="11"/>
      <c r="P85" s="11"/>
      <c r="Q85" s="11"/>
      <c r="R85" s="11"/>
      <c r="S85" s="11"/>
      <c r="T85" s="11"/>
      <c r="U85" s="11"/>
      <c r="V85" s="11"/>
    </row>
    <row r="86" spans="1:22" s="1" customFormat="1" ht="38.25" hidden="1" x14ac:dyDescent="0.25">
      <c r="A86" s="299"/>
      <c r="B86" s="307"/>
      <c r="C86" s="169" t="s">
        <v>44</v>
      </c>
      <c r="D86" s="169" t="s">
        <v>45</v>
      </c>
      <c r="E86" s="169" t="s">
        <v>46</v>
      </c>
      <c r="F86" s="169" t="s">
        <v>44</v>
      </c>
      <c r="G86" s="169" t="s">
        <v>45</v>
      </c>
      <c r="H86" s="169" t="s">
        <v>46</v>
      </c>
      <c r="I86" s="169" t="s">
        <v>44</v>
      </c>
      <c r="J86" s="169" t="s">
        <v>45</v>
      </c>
      <c r="K86" s="169" t="s">
        <v>46</v>
      </c>
      <c r="L86" s="85"/>
      <c r="M86" s="85"/>
      <c r="N86" s="85"/>
      <c r="O86" s="11"/>
      <c r="P86" s="11"/>
      <c r="Q86" s="11"/>
      <c r="R86" s="11"/>
      <c r="S86" s="11"/>
      <c r="T86" s="11"/>
      <c r="U86" s="11"/>
      <c r="V86" s="11"/>
    </row>
    <row r="87" spans="1:22" s="1" customFormat="1" ht="15.75" hidden="1" x14ac:dyDescent="0.25">
      <c r="A87" s="167" t="s">
        <v>190</v>
      </c>
      <c r="B87" s="164" t="s">
        <v>73</v>
      </c>
      <c r="C87" s="164" t="s">
        <v>47</v>
      </c>
      <c r="D87" s="164" t="s">
        <v>48</v>
      </c>
      <c r="E87" s="164" t="s">
        <v>49</v>
      </c>
      <c r="F87" s="164" t="s">
        <v>52</v>
      </c>
      <c r="G87" s="164" t="s">
        <v>53</v>
      </c>
      <c r="H87" s="164" t="s">
        <v>91</v>
      </c>
      <c r="I87" s="164" t="s">
        <v>92</v>
      </c>
      <c r="J87" s="164" t="s">
        <v>93</v>
      </c>
      <c r="K87" s="164" t="s">
        <v>94</v>
      </c>
      <c r="L87" s="85"/>
      <c r="M87" s="85"/>
      <c r="N87" s="85"/>
      <c r="O87" s="11"/>
      <c r="P87" s="11"/>
      <c r="Q87" s="11"/>
      <c r="R87" s="11"/>
      <c r="S87" s="11"/>
      <c r="T87" s="11"/>
      <c r="U87" s="11"/>
      <c r="V87" s="11"/>
    </row>
    <row r="88" spans="1:22" s="1" customFormat="1" ht="15.75" hidden="1" x14ac:dyDescent="0.25">
      <c r="A88" s="4"/>
      <c r="B88" s="164"/>
      <c r="C88" s="109"/>
      <c r="D88" s="109"/>
      <c r="E88" s="109"/>
      <c r="F88" s="109"/>
      <c r="G88" s="109"/>
      <c r="H88" s="109"/>
      <c r="I88" s="164"/>
      <c r="J88" s="164"/>
      <c r="K88" s="164"/>
      <c r="L88" s="85"/>
      <c r="M88" s="85"/>
      <c r="N88" s="85"/>
      <c r="O88" s="11"/>
      <c r="P88" s="11"/>
      <c r="Q88" s="11"/>
      <c r="R88" s="11"/>
      <c r="S88" s="11"/>
      <c r="T88" s="11"/>
      <c r="U88" s="11"/>
      <c r="V88" s="11"/>
    </row>
    <row r="89" spans="1:22" s="1" customFormat="1" ht="15" hidden="1" customHeight="1" x14ac:dyDescent="0.25">
      <c r="A89" s="4"/>
      <c r="B89" s="164"/>
      <c r="C89" s="109"/>
      <c r="D89" s="109"/>
      <c r="E89" s="109"/>
      <c r="F89" s="109"/>
      <c r="G89" s="109"/>
      <c r="H89" s="109"/>
      <c r="I89" s="164"/>
      <c r="J89" s="164"/>
      <c r="K89" s="164"/>
      <c r="L89" s="85"/>
      <c r="M89" s="85"/>
      <c r="N89" s="85"/>
      <c r="O89" s="11"/>
      <c r="P89" s="11"/>
      <c r="Q89" s="11"/>
      <c r="R89" s="11"/>
      <c r="S89" s="11"/>
      <c r="T89" s="11"/>
      <c r="U89" s="11"/>
      <c r="V89" s="11"/>
    </row>
    <row r="90" spans="1:22" s="1" customFormat="1" ht="52.5" hidden="1" customHeight="1" x14ac:dyDescent="0.25">
      <c r="A90" s="4"/>
      <c r="B90" s="164"/>
      <c r="C90" s="109"/>
      <c r="D90" s="109"/>
      <c r="E90" s="109"/>
      <c r="F90" s="109"/>
      <c r="G90" s="109"/>
      <c r="H90" s="109"/>
      <c r="I90" s="52"/>
      <c r="J90" s="52"/>
      <c r="K90" s="52"/>
      <c r="L90" s="97"/>
      <c r="M90" s="85"/>
      <c r="N90" s="85"/>
      <c r="O90" s="11"/>
      <c r="P90" s="11"/>
      <c r="Q90" s="11"/>
      <c r="R90" s="11"/>
      <c r="S90" s="11"/>
      <c r="T90" s="11"/>
      <c r="U90" s="11"/>
      <c r="V90" s="11"/>
    </row>
    <row r="91" spans="1:22" s="1" customFormat="1" ht="15.75" hidden="1" x14ac:dyDescent="0.25">
      <c r="A91" s="4"/>
      <c r="B91" s="164"/>
      <c r="C91" s="109"/>
      <c r="D91" s="109"/>
      <c r="E91" s="109"/>
      <c r="F91" s="109"/>
      <c r="G91" s="109"/>
      <c r="H91" s="109"/>
      <c r="I91" s="52"/>
      <c r="J91" s="52"/>
      <c r="K91" s="52"/>
      <c r="L91" s="97"/>
      <c r="M91" s="85"/>
      <c r="N91" s="85"/>
      <c r="O91" s="11"/>
      <c r="P91" s="11"/>
      <c r="Q91" s="11"/>
      <c r="R91" s="11"/>
      <c r="S91" s="11"/>
      <c r="T91" s="11"/>
      <c r="U91" s="11"/>
      <c r="V91" s="11"/>
    </row>
    <row r="92" spans="1:22" s="1" customFormat="1" ht="30" hidden="1" customHeight="1" x14ac:dyDescent="0.25">
      <c r="A92" s="4"/>
      <c r="B92" s="164"/>
      <c r="C92" s="109"/>
      <c r="D92" s="109"/>
      <c r="E92" s="109"/>
      <c r="F92" s="109"/>
      <c r="G92" s="109"/>
      <c r="H92" s="109"/>
      <c r="I92" s="52"/>
      <c r="J92" s="52"/>
      <c r="K92" s="52"/>
      <c r="L92" s="97"/>
      <c r="M92" s="85"/>
      <c r="N92" s="85"/>
      <c r="O92" s="11"/>
      <c r="P92" s="11"/>
      <c r="Q92" s="11"/>
      <c r="R92" s="11"/>
      <c r="S92" s="11"/>
      <c r="T92" s="11"/>
      <c r="U92" s="11"/>
      <c r="V92" s="11"/>
    </row>
    <row r="93" spans="1:22" s="1" customFormat="1" ht="15.75" hidden="1" x14ac:dyDescent="0.25">
      <c r="A93" s="4"/>
      <c r="B93" s="164"/>
      <c r="C93" s="109"/>
      <c r="D93" s="109"/>
      <c r="E93" s="109"/>
      <c r="F93" s="109"/>
      <c r="G93" s="109"/>
      <c r="H93" s="109"/>
      <c r="I93" s="52"/>
      <c r="J93" s="52"/>
      <c r="K93" s="52"/>
      <c r="L93" s="97"/>
      <c r="M93" s="85"/>
      <c r="N93" s="85"/>
      <c r="O93" s="11"/>
      <c r="P93" s="11"/>
      <c r="Q93" s="11"/>
      <c r="R93" s="11"/>
      <c r="S93" s="11"/>
      <c r="T93" s="11"/>
      <c r="U93" s="11"/>
      <c r="V93" s="11"/>
    </row>
    <row r="94" spans="1:22" s="1" customFormat="1" ht="27.75" hidden="1" customHeight="1" x14ac:dyDescent="0.25">
      <c r="A94" s="4"/>
      <c r="B94" s="164"/>
      <c r="C94" s="109"/>
      <c r="D94" s="109"/>
      <c r="E94" s="109"/>
      <c r="F94" s="109"/>
      <c r="G94" s="109"/>
      <c r="H94" s="109"/>
      <c r="I94" s="52"/>
      <c r="J94" s="52"/>
      <c r="K94" s="52"/>
      <c r="L94" s="97"/>
      <c r="M94" s="85"/>
      <c r="N94" s="85"/>
      <c r="O94" s="11"/>
      <c r="P94" s="11"/>
      <c r="Q94" s="11"/>
      <c r="R94" s="11"/>
      <c r="S94" s="11"/>
      <c r="T94" s="11"/>
      <c r="U94" s="11"/>
      <c r="V94" s="11"/>
    </row>
    <row r="95" spans="1:22" s="1" customFormat="1" ht="15.75" hidden="1" x14ac:dyDescent="0.25">
      <c r="A95" s="4"/>
      <c r="B95" s="164"/>
      <c r="C95" s="109"/>
      <c r="D95" s="109"/>
      <c r="E95" s="109"/>
      <c r="F95" s="109"/>
      <c r="G95" s="109"/>
      <c r="H95" s="109"/>
      <c r="I95" s="52"/>
      <c r="J95" s="52"/>
      <c r="K95" s="52"/>
      <c r="L95" s="97"/>
      <c r="M95" s="85"/>
      <c r="N95" s="85"/>
      <c r="O95" s="11"/>
      <c r="P95" s="11"/>
      <c r="Q95" s="11"/>
      <c r="R95" s="11"/>
      <c r="S95" s="11"/>
      <c r="T95" s="11"/>
      <c r="U95" s="11"/>
      <c r="V95" s="11"/>
    </row>
    <row r="96" spans="1:22" s="1" customFormat="1" ht="15.75" hidden="1" x14ac:dyDescent="0.25">
      <c r="A96" s="4"/>
      <c r="B96" s="164"/>
      <c r="C96" s="109"/>
      <c r="D96" s="109"/>
      <c r="E96" s="109"/>
      <c r="F96" s="109"/>
      <c r="G96" s="109"/>
      <c r="H96" s="109"/>
      <c r="I96" s="52"/>
      <c r="J96" s="52"/>
      <c r="K96" s="52"/>
      <c r="L96" s="97"/>
      <c r="M96" s="85"/>
      <c r="N96" s="85"/>
      <c r="O96" s="11"/>
      <c r="P96" s="11"/>
      <c r="Q96" s="11"/>
      <c r="R96" s="11"/>
      <c r="S96" s="11"/>
      <c r="T96" s="11"/>
      <c r="U96" s="11"/>
      <c r="V96" s="11"/>
    </row>
    <row r="97" spans="1:22" s="1" customFormat="1" ht="15.75" hidden="1" x14ac:dyDescent="0.25">
      <c r="A97" s="4"/>
      <c r="B97" s="164"/>
      <c r="C97" s="109"/>
      <c r="D97" s="109"/>
      <c r="E97" s="109"/>
      <c r="F97" s="109"/>
      <c r="G97" s="109"/>
      <c r="H97" s="109"/>
      <c r="I97" s="164"/>
      <c r="J97" s="164"/>
      <c r="K97" s="164"/>
      <c r="L97" s="97"/>
      <c r="M97" s="85"/>
      <c r="N97" s="85"/>
      <c r="O97" s="11"/>
      <c r="P97" s="11"/>
      <c r="Q97" s="11"/>
      <c r="R97" s="11"/>
      <c r="S97" s="11"/>
      <c r="T97" s="11"/>
      <c r="U97" s="11"/>
      <c r="V97" s="11"/>
    </row>
    <row r="98" spans="1:22" s="1" customFormat="1" ht="18" hidden="1" customHeight="1" x14ac:dyDescent="0.25">
      <c r="A98" s="4"/>
      <c r="B98" s="164"/>
      <c r="C98" s="109"/>
      <c r="D98" s="109"/>
      <c r="E98" s="109"/>
      <c r="F98" s="109"/>
      <c r="G98" s="109"/>
      <c r="H98" s="109"/>
      <c r="I98" s="164"/>
      <c r="J98" s="164"/>
      <c r="K98" s="164"/>
      <c r="L98" s="97"/>
      <c r="M98" s="85"/>
      <c r="N98" s="85"/>
      <c r="O98" s="11"/>
      <c r="P98" s="11"/>
      <c r="Q98" s="11"/>
      <c r="R98" s="11"/>
      <c r="S98" s="11"/>
      <c r="T98" s="11"/>
      <c r="U98" s="11"/>
      <c r="V98" s="11"/>
    </row>
    <row r="99" spans="1:22" s="1" customFormat="1" ht="18" hidden="1" customHeight="1" x14ac:dyDescent="0.25">
      <c r="A99" s="4"/>
      <c r="B99" s="164"/>
      <c r="C99" s="109"/>
      <c r="D99" s="109"/>
      <c r="E99" s="109"/>
      <c r="F99" s="109"/>
      <c r="G99" s="109"/>
      <c r="H99" s="109"/>
      <c r="I99" s="164"/>
      <c r="J99" s="164"/>
      <c r="K99" s="164"/>
      <c r="L99" s="97"/>
      <c r="M99" s="85"/>
      <c r="N99" s="85"/>
      <c r="O99" s="11"/>
      <c r="P99" s="11"/>
      <c r="Q99" s="11"/>
      <c r="R99" s="11"/>
      <c r="S99" s="11"/>
      <c r="T99" s="11"/>
      <c r="U99" s="11"/>
      <c r="V99" s="11"/>
    </row>
    <row r="100" spans="1:22" s="1" customFormat="1" ht="15.75" hidden="1" x14ac:dyDescent="0.25">
      <c r="A100" s="167" t="s">
        <v>427</v>
      </c>
      <c r="B100" s="164" t="s">
        <v>1</v>
      </c>
      <c r="C100" s="164" t="s">
        <v>1</v>
      </c>
      <c r="D100" s="164" t="s">
        <v>1</v>
      </c>
      <c r="E100" s="164" t="s">
        <v>1</v>
      </c>
      <c r="F100" s="164" t="s">
        <v>1</v>
      </c>
      <c r="G100" s="164" t="s">
        <v>1</v>
      </c>
      <c r="H100" s="164" t="s">
        <v>1</v>
      </c>
      <c r="I100" s="94">
        <f>SUM(I88:I99)</f>
        <v>0</v>
      </c>
      <c r="J100" s="94">
        <f>SUM(J88:J99)</f>
        <v>0</v>
      </c>
      <c r="K100" s="94">
        <f>SUM(K88:K99)</f>
        <v>0</v>
      </c>
      <c r="L100" s="97"/>
      <c r="M100" s="85"/>
      <c r="N100" s="85"/>
      <c r="O100" s="11"/>
      <c r="P100" s="11"/>
      <c r="Q100" s="11"/>
      <c r="R100" s="11"/>
      <c r="S100" s="11"/>
      <c r="T100" s="11"/>
      <c r="U100" s="11"/>
      <c r="V100" s="11"/>
    </row>
    <row r="101" spans="1:22" hidden="1" x14ac:dyDescent="0.2">
      <c r="A101" s="1"/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98"/>
      <c r="M101" s="73"/>
      <c r="N101" s="73"/>
    </row>
    <row r="102" spans="1:22" hidden="1" x14ac:dyDescent="0.2">
      <c r="A102" s="293" t="s">
        <v>501</v>
      </c>
      <c r="B102" s="293"/>
      <c r="C102" s="293"/>
      <c r="D102" s="293"/>
      <c r="E102" s="293"/>
      <c r="F102" s="293"/>
      <c r="G102" s="293"/>
      <c r="H102" s="293"/>
      <c r="I102" s="293"/>
      <c r="J102" s="293"/>
      <c r="K102" s="293"/>
      <c r="L102" s="293"/>
      <c r="M102" s="293"/>
      <c r="N102" s="293"/>
    </row>
    <row r="103" spans="1:22" hidden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22" hidden="1" x14ac:dyDescent="0.2">
      <c r="A104" s="269" t="s">
        <v>451</v>
      </c>
      <c r="B104" s="269" t="s">
        <v>72</v>
      </c>
      <c r="C104" s="269" t="s">
        <v>497</v>
      </c>
      <c r="D104" s="269"/>
      <c r="E104" s="269"/>
      <c r="F104" s="269" t="s">
        <v>498</v>
      </c>
      <c r="G104" s="269"/>
      <c r="H104" s="269"/>
      <c r="I104" s="283" t="s">
        <v>43</v>
      </c>
      <c r="J104" s="283"/>
      <c r="K104" s="283"/>
      <c r="L104" s="1"/>
      <c r="M104" s="1"/>
      <c r="N104" s="1"/>
    </row>
    <row r="105" spans="1:22" ht="15" hidden="1" customHeight="1" x14ac:dyDescent="0.2">
      <c r="A105" s="269"/>
      <c r="B105" s="269"/>
      <c r="C105" s="167" t="s">
        <v>8</v>
      </c>
      <c r="D105" s="167" t="s">
        <v>9</v>
      </c>
      <c r="E105" s="167" t="s">
        <v>399</v>
      </c>
      <c r="F105" s="167" t="str">
        <f>C105</f>
        <v>на 2021 г.</v>
      </c>
      <c r="G105" s="167" t="str">
        <f>D105</f>
        <v>на 2022 г.</v>
      </c>
      <c r="H105" s="167" t="str">
        <f>E105</f>
        <v>на 2023 г.</v>
      </c>
      <c r="I105" s="167" t="str">
        <f>C105</f>
        <v>на 2021 г.</v>
      </c>
      <c r="J105" s="167" t="str">
        <f>D105</f>
        <v>на 2022 г.</v>
      </c>
      <c r="K105" s="167" t="str">
        <f>E105</f>
        <v>на 2023 г.</v>
      </c>
      <c r="L105" s="1"/>
      <c r="M105" s="1"/>
      <c r="N105" s="1"/>
    </row>
    <row r="106" spans="1:22" ht="38.25" hidden="1" x14ac:dyDescent="0.2">
      <c r="A106" s="269"/>
      <c r="B106" s="269"/>
      <c r="C106" s="165" t="s">
        <v>44</v>
      </c>
      <c r="D106" s="165" t="s">
        <v>45</v>
      </c>
      <c r="E106" s="165" t="s">
        <v>46</v>
      </c>
      <c r="F106" s="165" t="s">
        <v>44</v>
      </c>
      <c r="G106" s="165" t="s">
        <v>45</v>
      </c>
      <c r="H106" s="165" t="s">
        <v>46</v>
      </c>
      <c r="I106" s="165" t="s">
        <v>44</v>
      </c>
      <c r="J106" s="165" t="s">
        <v>45</v>
      </c>
      <c r="K106" s="165" t="s">
        <v>46</v>
      </c>
      <c r="L106" s="1"/>
      <c r="M106" s="1"/>
      <c r="N106" s="1"/>
    </row>
    <row r="107" spans="1:22" hidden="1" x14ac:dyDescent="0.2">
      <c r="A107" s="167" t="s">
        <v>190</v>
      </c>
      <c r="B107" s="167" t="s">
        <v>73</v>
      </c>
      <c r="C107" s="167" t="s">
        <v>47</v>
      </c>
      <c r="D107" s="167" t="s">
        <v>48</v>
      </c>
      <c r="E107" s="167" t="s">
        <v>49</v>
      </c>
      <c r="F107" s="167" t="s">
        <v>52</v>
      </c>
      <c r="G107" s="167" t="s">
        <v>53</v>
      </c>
      <c r="H107" s="167" t="s">
        <v>91</v>
      </c>
      <c r="I107" s="167" t="s">
        <v>92</v>
      </c>
      <c r="J107" s="167" t="s">
        <v>93</v>
      </c>
      <c r="K107" s="167" t="s">
        <v>94</v>
      </c>
      <c r="L107" s="1"/>
      <c r="M107" s="1"/>
      <c r="N107" s="1"/>
    </row>
    <row r="108" spans="1:22" ht="27" hidden="1" customHeight="1" x14ac:dyDescent="0.2">
      <c r="A108" s="4"/>
      <c r="B108" s="167"/>
      <c r="C108" s="110"/>
      <c r="D108" s="110"/>
      <c r="E108" s="110"/>
      <c r="F108" s="164"/>
      <c r="G108" s="164"/>
      <c r="H108" s="164"/>
      <c r="I108" s="164"/>
      <c r="J108" s="164"/>
      <c r="K108" s="164"/>
      <c r="L108" s="1"/>
      <c r="M108" s="1"/>
      <c r="N108" s="1"/>
    </row>
    <row r="109" spans="1:22" hidden="1" x14ac:dyDescent="0.2">
      <c r="A109" s="167" t="s">
        <v>427</v>
      </c>
      <c r="B109" s="96" t="s">
        <v>139</v>
      </c>
      <c r="C109" s="167" t="s">
        <v>1</v>
      </c>
      <c r="D109" s="167" t="s">
        <v>1</v>
      </c>
      <c r="E109" s="167" t="s">
        <v>1</v>
      </c>
      <c r="F109" s="164" t="s">
        <v>1</v>
      </c>
      <c r="G109" s="164" t="s">
        <v>1</v>
      </c>
      <c r="H109" s="164" t="s">
        <v>1</v>
      </c>
      <c r="I109" s="30">
        <f>SUM(I108:I108)</f>
        <v>0</v>
      </c>
      <c r="J109" s="30">
        <f>SUM(J108:J108)</f>
        <v>0</v>
      </c>
      <c r="K109" s="30">
        <f>SUM(K108:K108)</f>
        <v>0</v>
      </c>
      <c r="L109" s="1"/>
      <c r="M109" s="1"/>
      <c r="N109" s="1"/>
    </row>
    <row r="110" spans="1:22" x14ac:dyDescent="0.2">
      <c r="A110" s="8" t="s">
        <v>615</v>
      </c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98"/>
      <c r="M110" s="73"/>
      <c r="N110" s="73"/>
    </row>
    <row r="111" spans="1:22" x14ac:dyDescent="0.2">
      <c r="A111" s="1"/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98"/>
      <c r="M111" s="73"/>
      <c r="N111" s="73"/>
    </row>
    <row r="112" spans="1:22" x14ac:dyDescent="0.2">
      <c r="A112" s="269" t="s">
        <v>451</v>
      </c>
      <c r="B112" s="307" t="s">
        <v>72</v>
      </c>
      <c r="C112" s="275" t="s">
        <v>68</v>
      </c>
      <c r="D112" s="275"/>
      <c r="E112" s="275"/>
      <c r="F112" s="275" t="s">
        <v>149</v>
      </c>
      <c r="G112" s="275"/>
      <c r="H112" s="275"/>
      <c r="I112" s="275" t="s">
        <v>43</v>
      </c>
      <c r="J112" s="275"/>
      <c r="K112" s="275"/>
      <c r="L112" s="98"/>
      <c r="M112" s="73"/>
      <c r="N112" s="73"/>
    </row>
    <row r="113" spans="1:14" x14ac:dyDescent="0.2">
      <c r="A113" s="269"/>
      <c r="B113" s="307"/>
      <c r="C113" s="253" t="s">
        <v>399</v>
      </c>
      <c r="D113" s="253" t="s">
        <v>611</v>
      </c>
      <c r="E113" s="253" t="s">
        <v>650</v>
      </c>
      <c r="F113" s="253" t="s">
        <v>399</v>
      </c>
      <c r="G113" s="253" t="s">
        <v>611</v>
      </c>
      <c r="H113" s="253" t="s">
        <v>650</v>
      </c>
      <c r="I113" s="253" t="s">
        <v>399</v>
      </c>
      <c r="J113" s="253" t="s">
        <v>611</v>
      </c>
      <c r="K113" s="253" t="s">
        <v>650</v>
      </c>
      <c r="L113" s="98"/>
      <c r="M113" s="73"/>
      <c r="N113" s="73"/>
    </row>
    <row r="114" spans="1:14" ht="38.25" x14ac:dyDescent="0.2">
      <c r="A114" s="269"/>
      <c r="B114" s="307"/>
      <c r="C114" s="169" t="s">
        <v>44</v>
      </c>
      <c r="D114" s="169" t="s">
        <v>45</v>
      </c>
      <c r="E114" s="169" t="s">
        <v>46</v>
      </c>
      <c r="F114" s="169" t="s">
        <v>44</v>
      </c>
      <c r="G114" s="169" t="s">
        <v>45</v>
      </c>
      <c r="H114" s="169" t="s">
        <v>46</v>
      </c>
      <c r="I114" s="169" t="s">
        <v>44</v>
      </c>
      <c r="J114" s="169" t="s">
        <v>45</v>
      </c>
      <c r="K114" s="169" t="s">
        <v>46</v>
      </c>
      <c r="L114" s="98"/>
      <c r="M114" s="73"/>
      <c r="N114" s="73"/>
    </row>
    <row r="115" spans="1:14" x14ac:dyDescent="0.2">
      <c r="A115" s="167" t="s">
        <v>190</v>
      </c>
      <c r="B115" s="164" t="s">
        <v>73</v>
      </c>
      <c r="C115" s="164" t="s">
        <v>47</v>
      </c>
      <c r="D115" s="164" t="s">
        <v>48</v>
      </c>
      <c r="E115" s="164" t="s">
        <v>49</v>
      </c>
      <c r="F115" s="164" t="s">
        <v>52</v>
      </c>
      <c r="G115" s="164" t="s">
        <v>53</v>
      </c>
      <c r="H115" s="164" t="s">
        <v>91</v>
      </c>
      <c r="I115" s="164" t="s">
        <v>92</v>
      </c>
      <c r="J115" s="164" t="s">
        <v>93</v>
      </c>
      <c r="K115" s="164" t="s">
        <v>94</v>
      </c>
      <c r="L115" s="98"/>
      <c r="M115" s="73"/>
      <c r="N115" s="73"/>
    </row>
    <row r="116" spans="1:14" x14ac:dyDescent="0.2">
      <c r="A116" s="171"/>
      <c r="B116" s="164"/>
      <c r="C116" s="109"/>
      <c r="D116" s="109"/>
      <c r="E116" s="109"/>
      <c r="F116" s="188"/>
      <c r="G116" s="188"/>
      <c r="H116" s="188"/>
      <c r="I116" s="52"/>
      <c r="J116" s="52"/>
      <c r="K116" s="52"/>
      <c r="L116" s="99"/>
      <c r="M116" s="100"/>
      <c r="N116" s="100"/>
    </row>
    <row r="117" spans="1:14" x14ac:dyDescent="0.2">
      <c r="A117" s="167" t="s">
        <v>427</v>
      </c>
      <c r="B117" s="164" t="s">
        <v>1</v>
      </c>
      <c r="C117" s="164" t="s">
        <v>1</v>
      </c>
      <c r="D117" s="164" t="s">
        <v>1</v>
      </c>
      <c r="E117" s="164" t="s">
        <v>1</v>
      </c>
      <c r="F117" s="164" t="s">
        <v>1</v>
      </c>
      <c r="G117" s="164" t="s">
        <v>1</v>
      </c>
      <c r="H117" s="164" t="s">
        <v>1</v>
      </c>
      <c r="I117" s="30">
        <f>SUM(I116:I116)</f>
        <v>0</v>
      </c>
      <c r="J117" s="30">
        <f>SUM(J116:J116)</f>
        <v>0</v>
      </c>
      <c r="K117" s="30">
        <f>SUM(K116:K116)</f>
        <v>0</v>
      </c>
      <c r="L117" s="138"/>
      <c r="M117" s="73"/>
      <c r="N117" s="73"/>
    </row>
    <row r="118" spans="1:14" x14ac:dyDescent="0.2">
      <c r="A118" s="1"/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73"/>
      <c r="M118" s="73"/>
      <c r="N118" s="73"/>
    </row>
    <row r="119" spans="1:14" ht="11.25" customHeight="1" x14ac:dyDescent="0.2">
      <c r="A119" s="8" t="s">
        <v>616</v>
      </c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73"/>
      <c r="M119" s="73"/>
      <c r="N119" s="73"/>
    </row>
    <row r="120" spans="1:14" x14ac:dyDescent="0.2">
      <c r="A120" s="8"/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73"/>
      <c r="M120" s="73"/>
      <c r="N120" s="73"/>
    </row>
    <row r="121" spans="1:14" x14ac:dyDescent="0.2">
      <c r="A121" s="269" t="s">
        <v>451</v>
      </c>
      <c r="B121" s="307" t="s">
        <v>72</v>
      </c>
      <c r="C121" s="308" t="s">
        <v>204</v>
      </c>
      <c r="D121" s="308"/>
      <c r="E121" s="308"/>
      <c r="F121" s="307" t="s">
        <v>205</v>
      </c>
      <c r="G121" s="307"/>
      <c r="H121" s="307"/>
      <c r="I121" s="305" t="s">
        <v>43</v>
      </c>
      <c r="J121" s="305"/>
      <c r="K121" s="305"/>
      <c r="L121" s="73"/>
      <c r="M121" s="73"/>
      <c r="N121" s="73"/>
    </row>
    <row r="122" spans="1:14" x14ac:dyDescent="0.2">
      <c r="A122" s="269"/>
      <c r="B122" s="307"/>
      <c r="C122" s="253" t="s">
        <v>399</v>
      </c>
      <c r="D122" s="253" t="s">
        <v>611</v>
      </c>
      <c r="E122" s="253" t="s">
        <v>650</v>
      </c>
      <c r="F122" s="253" t="s">
        <v>399</v>
      </c>
      <c r="G122" s="253" t="s">
        <v>611</v>
      </c>
      <c r="H122" s="253" t="s">
        <v>650</v>
      </c>
      <c r="I122" s="253" t="s">
        <v>399</v>
      </c>
      <c r="J122" s="253" t="s">
        <v>611</v>
      </c>
      <c r="K122" s="253" t="s">
        <v>650</v>
      </c>
      <c r="L122" s="73"/>
      <c r="M122" s="73"/>
      <c r="N122" s="73"/>
    </row>
    <row r="123" spans="1:14" ht="38.25" x14ac:dyDescent="0.2">
      <c r="A123" s="269"/>
      <c r="B123" s="307"/>
      <c r="C123" s="169" t="s">
        <v>44</v>
      </c>
      <c r="D123" s="170" t="s">
        <v>45</v>
      </c>
      <c r="E123" s="170" t="s">
        <v>46</v>
      </c>
      <c r="F123" s="169" t="s">
        <v>44</v>
      </c>
      <c r="G123" s="170" t="s">
        <v>45</v>
      </c>
      <c r="H123" s="170" t="s">
        <v>46</v>
      </c>
      <c r="I123" s="169" t="s">
        <v>44</v>
      </c>
      <c r="J123" s="170" t="s">
        <v>45</v>
      </c>
      <c r="K123" s="170" t="s">
        <v>46</v>
      </c>
      <c r="L123" s="73"/>
      <c r="M123" s="73"/>
      <c r="N123" s="73"/>
    </row>
    <row r="124" spans="1:14" x14ac:dyDescent="0.2">
      <c r="A124" s="167" t="s">
        <v>190</v>
      </c>
      <c r="B124" s="164" t="s">
        <v>73</v>
      </c>
      <c r="C124" s="164" t="s">
        <v>47</v>
      </c>
      <c r="D124" s="164" t="s">
        <v>48</v>
      </c>
      <c r="E124" s="164" t="s">
        <v>49</v>
      </c>
      <c r="F124" s="164" t="s">
        <v>52</v>
      </c>
      <c r="G124" s="164" t="s">
        <v>53</v>
      </c>
      <c r="H124" s="164" t="s">
        <v>91</v>
      </c>
      <c r="I124" s="164" t="s">
        <v>92</v>
      </c>
      <c r="J124" s="164" t="s">
        <v>93</v>
      </c>
      <c r="K124" s="164" t="s">
        <v>94</v>
      </c>
      <c r="L124" s="73"/>
      <c r="M124" s="73"/>
      <c r="N124" s="73"/>
    </row>
    <row r="125" spans="1:14" x14ac:dyDescent="0.2">
      <c r="A125" s="171"/>
      <c r="B125" s="164"/>
      <c r="C125" s="93"/>
      <c r="D125" s="93"/>
      <c r="E125" s="93"/>
      <c r="F125" s="184"/>
      <c r="G125" s="184"/>
      <c r="H125" s="184"/>
      <c r="I125" s="184"/>
      <c r="J125" s="184">
        <f t="shared" ref="J125:K125" si="6">D125*G125</f>
        <v>0</v>
      </c>
      <c r="K125" s="184">
        <f t="shared" si="6"/>
        <v>0</v>
      </c>
      <c r="L125" s="73"/>
      <c r="M125" s="73"/>
      <c r="N125" s="73"/>
    </row>
    <row r="126" spans="1:14" x14ac:dyDescent="0.2">
      <c r="A126" s="167" t="s">
        <v>427</v>
      </c>
      <c r="B126" s="164" t="s">
        <v>1</v>
      </c>
      <c r="C126" s="164" t="s">
        <v>1</v>
      </c>
      <c r="D126" s="164" t="s">
        <v>1</v>
      </c>
      <c r="E126" s="164" t="s">
        <v>1</v>
      </c>
      <c r="F126" s="164" t="s">
        <v>1</v>
      </c>
      <c r="G126" s="164" t="s">
        <v>1</v>
      </c>
      <c r="H126" s="164" t="s">
        <v>1</v>
      </c>
      <c r="I126" s="30">
        <f>SUM(I125:I125)</f>
        <v>0</v>
      </c>
      <c r="J126" s="30">
        <f>SUM(J125:J125)</f>
        <v>0</v>
      </c>
      <c r="K126" s="30">
        <f>SUM(K125:K125)</f>
        <v>0</v>
      </c>
      <c r="L126" s="73"/>
      <c r="M126" s="73"/>
      <c r="N126" s="73"/>
    </row>
    <row r="127" spans="1:14" x14ac:dyDescent="0.2">
      <c r="A127" s="23"/>
      <c r="B127" s="89"/>
      <c r="C127" s="89"/>
      <c r="D127" s="89"/>
      <c r="E127" s="89"/>
      <c r="F127" s="89"/>
      <c r="G127" s="89"/>
      <c r="H127" s="89"/>
      <c r="I127" s="193"/>
      <c r="J127" s="193"/>
      <c r="K127" s="193"/>
      <c r="L127" s="73"/>
      <c r="M127" s="73"/>
      <c r="N127" s="73"/>
    </row>
    <row r="128" spans="1:14" x14ac:dyDescent="0.2">
      <c r="A128" s="343" t="s">
        <v>617</v>
      </c>
      <c r="B128" s="343"/>
      <c r="C128" s="343"/>
      <c r="D128" s="343"/>
      <c r="E128" s="343"/>
      <c r="F128" s="343"/>
      <c r="G128" s="343"/>
      <c r="H128" s="343"/>
      <c r="I128" s="343"/>
      <c r="J128" s="343"/>
      <c r="K128" s="343"/>
      <c r="L128" s="343"/>
      <c r="M128" s="343"/>
      <c r="N128" s="343"/>
    </row>
    <row r="129" spans="1:14" x14ac:dyDescent="0.2">
      <c r="A129" s="32"/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73"/>
      <c r="M129" s="73"/>
      <c r="N129" s="73"/>
    </row>
    <row r="130" spans="1:14" x14ac:dyDescent="0.2">
      <c r="A130" s="344" t="s">
        <v>451</v>
      </c>
      <c r="B130" s="307" t="s">
        <v>72</v>
      </c>
      <c r="C130" s="308" t="s">
        <v>544</v>
      </c>
      <c r="D130" s="308"/>
      <c r="E130" s="308"/>
      <c r="F130" s="307" t="s">
        <v>205</v>
      </c>
      <c r="G130" s="307"/>
      <c r="H130" s="307"/>
      <c r="I130" s="305" t="s">
        <v>43</v>
      </c>
      <c r="J130" s="305"/>
      <c r="K130" s="305"/>
      <c r="L130" s="73"/>
      <c r="M130" s="73"/>
      <c r="N130" s="73"/>
    </row>
    <row r="131" spans="1:14" x14ac:dyDescent="0.2">
      <c r="A131" s="344"/>
      <c r="B131" s="307"/>
      <c r="C131" s="253" t="s">
        <v>399</v>
      </c>
      <c r="D131" s="253" t="s">
        <v>611</v>
      </c>
      <c r="E131" s="253" t="s">
        <v>650</v>
      </c>
      <c r="F131" s="253" t="s">
        <v>399</v>
      </c>
      <c r="G131" s="253" t="s">
        <v>611</v>
      </c>
      <c r="H131" s="253" t="s">
        <v>650</v>
      </c>
      <c r="I131" s="253" t="s">
        <v>399</v>
      </c>
      <c r="J131" s="253" t="s">
        <v>611</v>
      </c>
      <c r="K131" s="253" t="s">
        <v>650</v>
      </c>
      <c r="L131" s="73"/>
      <c r="M131" s="73"/>
      <c r="N131" s="73"/>
    </row>
    <row r="132" spans="1:14" ht="38.25" x14ac:dyDescent="0.2">
      <c r="A132" s="344"/>
      <c r="B132" s="307"/>
      <c r="C132" s="186" t="s">
        <v>44</v>
      </c>
      <c r="D132" s="187" t="s">
        <v>45</v>
      </c>
      <c r="E132" s="187" t="s">
        <v>46</v>
      </c>
      <c r="F132" s="186" t="s">
        <v>44</v>
      </c>
      <c r="G132" s="187" t="s">
        <v>45</v>
      </c>
      <c r="H132" s="187" t="s">
        <v>46</v>
      </c>
      <c r="I132" s="186" t="s">
        <v>44</v>
      </c>
      <c r="J132" s="187" t="s">
        <v>45</v>
      </c>
      <c r="K132" s="187" t="s">
        <v>46</v>
      </c>
      <c r="L132" s="73"/>
      <c r="M132" s="73"/>
      <c r="N132" s="73"/>
    </row>
    <row r="133" spans="1:14" x14ac:dyDescent="0.2">
      <c r="A133" s="34" t="s">
        <v>190</v>
      </c>
      <c r="B133" s="184" t="s">
        <v>73</v>
      </c>
      <c r="C133" s="184" t="s">
        <v>47</v>
      </c>
      <c r="D133" s="184" t="s">
        <v>48</v>
      </c>
      <c r="E133" s="184" t="s">
        <v>49</v>
      </c>
      <c r="F133" s="184" t="s">
        <v>52</v>
      </c>
      <c r="G133" s="184" t="s">
        <v>53</v>
      </c>
      <c r="H133" s="184" t="s">
        <v>91</v>
      </c>
      <c r="I133" s="184" t="s">
        <v>92</v>
      </c>
      <c r="J133" s="184" t="s">
        <v>93</v>
      </c>
      <c r="K133" s="184" t="s">
        <v>94</v>
      </c>
      <c r="L133" s="73"/>
      <c r="M133" s="73"/>
      <c r="N133" s="73"/>
    </row>
    <row r="134" spans="1:14" x14ac:dyDescent="0.2">
      <c r="A134" s="4"/>
      <c r="B134" s="184"/>
      <c r="C134" s="93"/>
      <c r="D134" s="93"/>
      <c r="E134" s="93"/>
      <c r="F134" s="197"/>
      <c r="G134" s="191"/>
      <c r="H134" s="191"/>
      <c r="I134" s="184">
        <f>F134</f>
        <v>0</v>
      </c>
      <c r="J134" s="184"/>
      <c r="K134" s="184"/>
      <c r="L134" s="73"/>
      <c r="M134" s="73"/>
      <c r="N134" s="73"/>
    </row>
    <row r="135" spans="1:14" x14ac:dyDescent="0.2">
      <c r="A135" s="34" t="s">
        <v>427</v>
      </c>
      <c r="B135" s="184" t="s">
        <v>1</v>
      </c>
      <c r="C135" s="184" t="s">
        <v>1</v>
      </c>
      <c r="D135" s="184" t="s">
        <v>1</v>
      </c>
      <c r="E135" s="184" t="s">
        <v>1</v>
      </c>
      <c r="F135" s="184" t="s">
        <v>1</v>
      </c>
      <c r="G135" s="184" t="s">
        <v>1</v>
      </c>
      <c r="H135" s="184" t="s">
        <v>1</v>
      </c>
      <c r="I135" s="30">
        <f>SUM(I134:I134)</f>
        <v>0</v>
      </c>
      <c r="J135" s="30">
        <f>SUM(J134:J134)</f>
        <v>0</v>
      </c>
      <c r="K135" s="30">
        <f>SUM(K134:K134)</f>
        <v>0</v>
      </c>
      <c r="L135" s="73"/>
      <c r="M135" s="73"/>
      <c r="N135" s="73"/>
    </row>
    <row r="136" spans="1:14" x14ac:dyDescent="0.2">
      <c r="A136" s="73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</row>
  </sheetData>
  <mergeCells count="63">
    <mergeCell ref="L34:N34"/>
    <mergeCell ref="A2:N2"/>
    <mergeCell ref="A6:A8"/>
    <mergeCell ref="B6:B8"/>
    <mergeCell ref="C6:E6"/>
    <mergeCell ref="B13:B14"/>
    <mergeCell ref="C13:C14"/>
    <mergeCell ref="D13:D14"/>
    <mergeCell ref="E13:E14"/>
    <mergeCell ref="A34:A36"/>
    <mergeCell ref="B34:B36"/>
    <mergeCell ref="C34:E34"/>
    <mergeCell ref="F34:H34"/>
    <mergeCell ref="I34:K34"/>
    <mergeCell ref="A30:M30"/>
    <mergeCell ref="A52:A54"/>
    <mergeCell ref="B52:B54"/>
    <mergeCell ref="C52:E52"/>
    <mergeCell ref="F52:H52"/>
    <mergeCell ref="I52:K52"/>
    <mergeCell ref="A43:A45"/>
    <mergeCell ref="B43:B45"/>
    <mergeCell ref="C43:E43"/>
    <mergeCell ref="F43:H43"/>
    <mergeCell ref="I43:K43"/>
    <mergeCell ref="A65:A67"/>
    <mergeCell ref="B65:B67"/>
    <mergeCell ref="C65:E65"/>
    <mergeCell ref="F65:H65"/>
    <mergeCell ref="I65:K65"/>
    <mergeCell ref="L75:N75"/>
    <mergeCell ref="A84:A86"/>
    <mergeCell ref="B84:B86"/>
    <mergeCell ref="C84:E84"/>
    <mergeCell ref="F84:H84"/>
    <mergeCell ref="I84:K84"/>
    <mergeCell ref="A75:A77"/>
    <mergeCell ref="B75:B77"/>
    <mergeCell ref="C75:E75"/>
    <mergeCell ref="F75:H75"/>
    <mergeCell ref="I75:K75"/>
    <mergeCell ref="A102:N102"/>
    <mergeCell ref="A104:A106"/>
    <mergeCell ref="B104:B106"/>
    <mergeCell ref="C104:E104"/>
    <mergeCell ref="F104:H104"/>
    <mergeCell ref="I104:K104"/>
    <mergeCell ref="A112:A114"/>
    <mergeCell ref="B112:B114"/>
    <mergeCell ref="C112:E112"/>
    <mergeCell ref="F112:H112"/>
    <mergeCell ref="I112:K112"/>
    <mergeCell ref="A121:A123"/>
    <mergeCell ref="B121:B123"/>
    <mergeCell ref="C121:E121"/>
    <mergeCell ref="F121:H121"/>
    <mergeCell ref="I121:K121"/>
    <mergeCell ref="A128:N128"/>
    <mergeCell ref="A130:A132"/>
    <mergeCell ref="B130:B132"/>
    <mergeCell ref="C130:E130"/>
    <mergeCell ref="F130:H130"/>
    <mergeCell ref="I130:K130"/>
  </mergeCells>
  <pageMargins left="0.70866141732283472" right="0.70866141732283472" top="0.74803149606299213" bottom="0.74803149606299213" header="0.31496062992125984" footer="0.31496062992125984"/>
  <pageSetup paperSize="9" scale="75" fitToHeight="0" orientation="landscape" horizontalDpi="300" verticalDpi="300" r:id="rId1"/>
  <rowBreaks count="2" manualBreakCount="2">
    <brk id="24" max="12" man="1"/>
    <brk id="11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Раздел 1</vt:lpstr>
      <vt:lpstr>Раздел 2</vt:lpstr>
      <vt:lpstr>Раздел 3</vt:lpstr>
      <vt:lpstr>3.6(211+213+850)(4)</vt:lpstr>
      <vt:lpstr>3.6(211+213+850)(2)</vt:lpstr>
      <vt:lpstr>244(4)</vt:lpstr>
      <vt:lpstr>244(2)</vt:lpstr>
      <vt:lpstr>244(5)НЕПЕЧАТ</vt:lpstr>
      <vt:lpstr>'244(2)'!Область_печати</vt:lpstr>
      <vt:lpstr>'244(4)'!Область_печати</vt:lpstr>
      <vt:lpstr>'244(5)НЕПЕЧАТ'!Область_печати</vt:lpstr>
      <vt:lpstr>'3.6(211+213+850)(2)'!Область_печати</vt:lpstr>
      <vt:lpstr>'3.6(211+213+850)(4)'!Область_печати</vt:lpstr>
      <vt:lpstr>'Раздел 1'!Область_печати</vt:lpstr>
      <vt:lpstr>'Раздел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Ридель</dc:creator>
  <cp:keywords/>
  <cp:lastModifiedBy>STREET</cp:lastModifiedBy>
  <cp:lastPrinted>2023-01-10T04:25:44Z</cp:lastPrinted>
  <dcterms:created xsi:type="dcterms:W3CDTF">2020-01-20T02:56:20Z</dcterms:created>
  <dcterms:modified xsi:type="dcterms:W3CDTF">2023-01-10T04:25:45Z</dcterms:modified>
</cp:coreProperties>
</file>